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05" yWindow="1245" windowWidth="15000" windowHeight="9765" tabRatio="800" firstSheet="2" activeTab="3"/>
  </bookViews>
  <sheets>
    <sheet name="Predpisy_splatka" sheetId="3" state="hidden" r:id="rId1"/>
    <sheet name="rozpis_uhrad_new_jul" sheetId="22" state="hidden" r:id="rId2"/>
    <sheet name="ev.c.10000167" sheetId="25" r:id="rId3"/>
    <sheet name="úhrady" sheetId="26" r:id="rId4"/>
  </sheets>
  <externalReferences>
    <externalReference r:id="rId5"/>
  </externalReferences>
  <definedNames>
    <definedName name="april">#REF!</definedName>
    <definedName name="jul">#REF!</definedName>
    <definedName name="jun">#REF!</definedName>
    <definedName name="maj">#REF!</definedName>
    <definedName name="splatka4">Predpisy_splatka!$B$2:$K$9</definedName>
    <definedName name="splatka5">Predpisy_splatka!$B$13:$K$20</definedName>
    <definedName name="splatka6">Predpisy_splatka!$B$24:$K$31</definedName>
    <definedName name="splatka7">Predpisy_splatka!$B$36:$K$42</definedName>
  </definedNames>
  <calcPr calcId="145621"/>
</workbook>
</file>

<file path=xl/calcChain.xml><?xml version="1.0" encoding="utf-8"?>
<calcChain xmlns="http://schemas.openxmlformats.org/spreadsheetml/2006/main">
  <c r="K43" i="26" l="1"/>
  <c r="L225" i="25"/>
  <c r="L193" i="25"/>
  <c r="L163" i="25"/>
  <c r="L191" i="25" s="1"/>
  <c r="L221" i="25" s="1"/>
  <c r="L134" i="25"/>
  <c r="L106" i="25"/>
  <c r="L79" i="25"/>
  <c r="L53" i="25"/>
  <c r="L4" i="25"/>
  <c r="L28" i="25"/>
  <c r="K4" i="25"/>
  <c r="K28" i="25"/>
  <c r="L223" i="25"/>
  <c r="K213" i="25"/>
  <c r="K221" i="25"/>
  <c r="K191" i="25"/>
  <c r="K189" i="25"/>
  <c r="K187" i="25"/>
  <c r="K185" i="25"/>
  <c r="K183" i="25"/>
  <c r="K223" i="25"/>
  <c r="K219" i="25"/>
  <c r="K217" i="25"/>
  <c r="K215" i="25"/>
  <c r="K134" i="25"/>
  <c r="K163" i="25"/>
  <c r="K193" i="25"/>
  <c r="K225" i="25"/>
  <c r="K106" i="25"/>
  <c r="K79" i="25"/>
  <c r="K53" i="25"/>
  <c r="F7" i="26"/>
  <c r="F16" i="26"/>
  <c r="F26" i="26"/>
  <c r="F36" i="26"/>
  <c r="F46" i="26"/>
  <c r="F56" i="26"/>
  <c r="E56" i="26" s="1"/>
  <c r="K56" i="26"/>
  <c r="K55" i="26"/>
  <c r="E55" i="26" s="1"/>
  <c r="C61" i="26"/>
  <c r="C59" i="26"/>
  <c r="C58" i="26"/>
  <c r="K61" i="26"/>
  <c r="E54" i="26"/>
  <c r="E52" i="26"/>
  <c r="F18" i="26"/>
  <c r="E18" i="26" s="1"/>
  <c r="F28" i="26" l="1"/>
  <c r="E28" i="26" l="1"/>
  <c r="F38" i="26"/>
  <c r="A3" i="26"/>
  <c r="A4" i="26" s="1"/>
  <c r="A5" i="26" s="1"/>
  <c r="A6" i="26" s="1"/>
  <c r="A7" i="26" s="1"/>
  <c r="A8" i="26" s="1"/>
  <c r="E4" i="26"/>
  <c r="E8" i="26"/>
  <c r="E10" i="26" s="1"/>
  <c r="F48" i="26" l="1"/>
  <c r="E38" i="26"/>
  <c r="A10" i="26"/>
  <c r="A9" i="26"/>
  <c r="E46" i="26"/>
  <c r="E7" i="26"/>
  <c r="E26" i="26"/>
  <c r="E36" i="26"/>
  <c r="E16" i="26"/>
  <c r="E48" i="26" l="1"/>
  <c r="F58" i="26"/>
  <c r="E58" i="26" s="1"/>
  <c r="E61" i="26"/>
  <c r="E59" i="26" s="1"/>
  <c r="I43" i="26"/>
  <c r="I44" i="26" s="1"/>
  <c r="I33" i="26"/>
  <c r="I34" i="26" s="1"/>
  <c r="E47" i="26"/>
  <c r="E50" i="26" s="1"/>
  <c r="E45" i="26"/>
  <c r="E44" i="26"/>
  <c r="E42" i="26"/>
  <c r="K51" i="26"/>
  <c r="K53" i="26" s="1"/>
  <c r="E53" i="26" s="1"/>
  <c r="K50" i="26"/>
  <c r="E43" i="26"/>
  <c r="E51" i="26" s="1"/>
  <c r="E37" i="26"/>
  <c r="E40" i="26" s="1"/>
  <c r="E35" i="26"/>
  <c r="E34" i="26"/>
  <c r="E33" i="26"/>
  <c r="E32" i="26"/>
  <c r="E41" i="26" l="1"/>
  <c r="E27" i="26"/>
  <c r="E30" i="26" s="1"/>
  <c r="E25" i="26"/>
  <c r="E24" i="26"/>
  <c r="E23" i="26"/>
  <c r="E31" i="26" s="1"/>
  <c r="E22" i="26"/>
  <c r="E17" i="26" l="1"/>
  <c r="E20" i="26" s="1"/>
  <c r="E15" i="26"/>
  <c r="E14" i="26"/>
  <c r="E13" i="26"/>
  <c r="E21" i="26" s="1"/>
  <c r="E12" i="26"/>
  <c r="G6" i="26"/>
  <c r="K6" i="26"/>
  <c r="E6" i="26" s="1"/>
  <c r="E5" i="26"/>
  <c r="E3" i="26"/>
  <c r="E2" i="26"/>
  <c r="E19" i="26" l="1"/>
  <c r="E29" i="26" s="1"/>
  <c r="E39" i="26" s="1"/>
  <c r="E49" i="26" s="1"/>
  <c r="E11" i="26"/>
  <c r="E9" i="26" s="1"/>
  <c r="G209" i="25"/>
  <c r="G179" i="25"/>
  <c r="G151" i="25"/>
  <c r="G124" i="25"/>
  <c r="G98" i="25"/>
  <c r="G73" i="25"/>
  <c r="G51" i="25"/>
  <c r="G75" i="25" s="1"/>
  <c r="G100" i="25" s="1"/>
  <c r="G126" i="25" s="1"/>
  <c r="G153" i="25" s="1"/>
  <c r="G181" i="25" s="1"/>
  <c r="G211" i="25" s="1"/>
  <c r="G49" i="25"/>
  <c r="G26" i="25"/>
  <c r="G193" i="25"/>
  <c r="G223" i="25" s="1"/>
  <c r="G4" i="25"/>
  <c r="F72" i="25"/>
  <c r="F97" i="25" s="1"/>
  <c r="F69" i="25"/>
  <c r="F94" i="25" s="1"/>
  <c r="F120" i="25" s="1"/>
  <c r="F147" i="25" s="1"/>
  <c r="F175" i="25" s="1"/>
  <c r="F204" i="25" s="1"/>
  <c r="F235" i="25" s="1"/>
  <c r="F65" i="25"/>
  <c r="F90" i="25" s="1"/>
  <c r="F116" i="25" s="1"/>
  <c r="F143" i="25" s="1"/>
  <c r="F171" i="25" s="1"/>
  <c r="F200" i="25" s="1"/>
  <c r="F231" i="25" s="1"/>
  <c r="F57" i="25"/>
  <c r="F82" i="25" s="1"/>
  <c r="F108" i="25" s="1"/>
  <c r="F135" i="25" s="1"/>
  <c r="F162" i="25" s="1"/>
  <c r="F190" i="25" s="1"/>
  <c r="F220" i="25" s="1"/>
  <c r="F48" i="25"/>
  <c r="F25" i="25"/>
  <c r="F27" i="25"/>
  <c r="G28" i="25" s="1"/>
  <c r="F45" i="25"/>
  <c r="F44" i="25"/>
  <c r="F68" i="25" s="1"/>
  <c r="F93" i="25" s="1"/>
  <c r="F119" i="25" s="1"/>
  <c r="F146" i="25" s="1"/>
  <c r="F174" i="25" s="1"/>
  <c r="F203" i="25" s="1"/>
  <c r="F234" i="25" s="1"/>
  <c r="F43" i="25"/>
  <c r="F67" i="25" s="1"/>
  <c r="F92" i="25" s="1"/>
  <c r="F118" i="25" s="1"/>
  <c r="F145" i="25" s="1"/>
  <c r="F173" i="25" s="1"/>
  <c r="F202" i="25" s="1"/>
  <c r="F233" i="25" s="1"/>
  <c r="F42" i="25"/>
  <c r="F66" i="25" s="1"/>
  <c r="F91" i="25" s="1"/>
  <c r="F117" i="25" s="1"/>
  <c r="F144" i="25" s="1"/>
  <c r="F172" i="25" s="1"/>
  <c r="F201" i="25" s="1"/>
  <c r="F232" i="25" s="1"/>
  <c r="F41" i="25"/>
  <c r="F40" i="25"/>
  <c r="F64" i="25" s="1"/>
  <c r="F89" i="25" s="1"/>
  <c r="F115" i="25" s="1"/>
  <c r="F142" i="25" s="1"/>
  <c r="F170" i="25" s="1"/>
  <c r="F199" i="25" s="1"/>
  <c r="F230" i="25" s="1"/>
  <c r="F39" i="25"/>
  <c r="F63" i="25" s="1"/>
  <c r="F88" i="25" s="1"/>
  <c r="F114" i="25" s="1"/>
  <c r="F141" i="25" s="1"/>
  <c r="F169" i="25" s="1"/>
  <c r="F198" i="25" s="1"/>
  <c r="F229" i="25" s="1"/>
  <c r="F38" i="25"/>
  <c r="F62" i="25" s="1"/>
  <c r="F87" i="25" s="1"/>
  <c r="F113" i="25" s="1"/>
  <c r="F140" i="25" s="1"/>
  <c r="F168" i="25" s="1"/>
  <c r="F197" i="25" s="1"/>
  <c r="F228" i="25" s="1"/>
  <c r="F37" i="25"/>
  <c r="F61" i="25" s="1"/>
  <c r="F86" i="25" s="1"/>
  <c r="F112" i="25" s="1"/>
  <c r="F139" i="25" s="1"/>
  <c r="F167" i="25" s="1"/>
  <c r="F196" i="25" s="1"/>
  <c r="F227" i="25" s="1"/>
  <c r="F36" i="25"/>
  <c r="F60" i="25" s="1"/>
  <c r="F85" i="25" s="1"/>
  <c r="F111" i="25" s="1"/>
  <c r="F138" i="25" s="1"/>
  <c r="F166" i="25" s="1"/>
  <c r="F195" i="25" s="1"/>
  <c r="F226" i="25" s="1"/>
  <c r="F35" i="25"/>
  <c r="F59" i="25" s="1"/>
  <c r="F84" i="25" s="1"/>
  <c r="F110" i="25" s="1"/>
  <c r="F137" i="25" s="1"/>
  <c r="F165" i="25" s="1"/>
  <c r="F194" i="25" s="1"/>
  <c r="F224" i="25" s="1"/>
  <c r="G225" i="25" s="1"/>
  <c r="F34" i="25"/>
  <c r="F58" i="25" s="1"/>
  <c r="F83" i="25" s="1"/>
  <c r="F109" i="25" s="1"/>
  <c r="F136" i="25" s="1"/>
  <c r="F164" i="25" s="1"/>
  <c r="F192" i="25" s="1"/>
  <c r="F33" i="25"/>
  <c r="F32" i="25"/>
  <c r="F56" i="25" s="1"/>
  <c r="F81" i="25" s="1"/>
  <c r="F107" i="25" s="1"/>
  <c r="F133" i="25" s="1"/>
  <c r="F160" i="25" s="1"/>
  <c r="F188" i="25" s="1"/>
  <c r="F218" i="25" s="1"/>
  <c r="F31" i="25"/>
  <c r="F55" i="25" s="1"/>
  <c r="F80" i="25" s="1"/>
  <c r="F105" i="25" s="1"/>
  <c r="F131" i="25" s="1"/>
  <c r="F158" i="25" s="1"/>
  <c r="F186" i="25" s="1"/>
  <c r="F216" i="25" s="1"/>
  <c r="F30" i="25"/>
  <c r="F54" i="25" s="1"/>
  <c r="F78" i="25" s="1"/>
  <c r="F29" i="25"/>
  <c r="F52" i="25" s="1"/>
  <c r="S219" i="25"/>
  <c r="S218" i="25"/>
  <c r="I218" i="25"/>
  <c r="S217" i="25"/>
  <c r="S216" i="25"/>
  <c r="S214" i="25"/>
  <c r="S189" i="25"/>
  <c r="S215" i="25" s="1"/>
  <c r="S188" i="25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5" i="25"/>
  <c r="J3" i="25"/>
  <c r="A11" i="26" l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F76" i="25"/>
  <c r="F101" i="25" s="1"/>
  <c r="F127" i="25" s="1"/>
  <c r="F154" i="25" s="1"/>
  <c r="F182" i="25" s="1"/>
  <c r="F212" i="25" s="1"/>
  <c r="G53" i="25"/>
  <c r="G77" i="25" s="1"/>
  <c r="G102" i="25" s="1"/>
  <c r="G128" i="25" s="1"/>
  <c r="G155" i="25" s="1"/>
  <c r="G183" i="25" s="1"/>
  <c r="G213" i="25" s="1"/>
  <c r="F103" i="25"/>
  <c r="F129" i="25" s="1"/>
  <c r="F156" i="25" s="1"/>
  <c r="F184" i="25" s="1"/>
  <c r="F214" i="25" s="1"/>
  <c r="G79" i="25"/>
  <c r="G104" i="25" s="1"/>
  <c r="G130" i="25" s="1"/>
  <c r="G157" i="25" s="1"/>
  <c r="G185" i="25" s="1"/>
  <c r="G215" i="25" s="1"/>
  <c r="G106" i="25"/>
  <c r="G132" i="25" s="1"/>
  <c r="G159" i="25" s="1"/>
  <c r="G187" i="25" s="1"/>
  <c r="G217" i="25" s="1"/>
  <c r="G134" i="25"/>
  <c r="G161" i="25" s="1"/>
  <c r="G189" i="25" s="1"/>
  <c r="G219" i="25" s="1"/>
  <c r="G163" i="25"/>
  <c r="G191" i="25" s="1"/>
  <c r="G221" i="25" s="1"/>
  <c r="F222" i="25"/>
  <c r="F121" i="25"/>
  <c r="F50" i="25"/>
  <c r="F74" i="25" s="1"/>
  <c r="F99" i="25" s="1"/>
  <c r="F125" i="25" s="1"/>
  <c r="F152" i="25" s="1"/>
  <c r="F180" i="25" s="1"/>
  <c r="F210" i="25" s="1"/>
  <c r="F123" i="25"/>
  <c r="Q30" i="25"/>
  <c r="Q31" i="25"/>
  <c r="Q32" i="25"/>
  <c r="Q33" i="25"/>
  <c r="Q34" i="25"/>
  <c r="Q35" i="25"/>
  <c r="Q36" i="25"/>
  <c r="Q37" i="25"/>
  <c r="Q38" i="25"/>
  <c r="Q62" i="25" s="1"/>
  <c r="Q87" i="25" s="1"/>
  <c r="Q113" i="25" s="1"/>
  <c r="Q140" i="25" s="1"/>
  <c r="Q168" i="25" s="1"/>
  <c r="Q197" i="25" s="1"/>
  <c r="Q228" i="25" s="1"/>
  <c r="Q39" i="25"/>
  <c r="Q63" i="25" s="1"/>
  <c r="Q88" i="25" s="1"/>
  <c r="Q114" i="25" s="1"/>
  <c r="Q141" i="25" s="1"/>
  <c r="Q169" i="25" s="1"/>
  <c r="Q198" i="25" s="1"/>
  <c r="Q229" i="25" s="1"/>
  <c r="Q40" i="25"/>
  <c r="Q64" i="25" s="1"/>
  <c r="Q89" i="25" s="1"/>
  <c r="Q115" i="25" s="1"/>
  <c r="Q142" i="25" s="1"/>
  <c r="Q170" i="25" s="1"/>
  <c r="Q199" i="25" s="1"/>
  <c r="Q230" i="25" s="1"/>
  <c r="Q41" i="25"/>
  <c r="Q65" i="25" s="1"/>
  <c r="Q90" i="25" s="1"/>
  <c r="Q116" i="25" s="1"/>
  <c r="Q143" i="25" s="1"/>
  <c r="Q171" i="25" s="1"/>
  <c r="Q200" i="25" s="1"/>
  <c r="Q231" i="25" s="1"/>
  <c r="Q42" i="25"/>
  <c r="Q66" i="25" s="1"/>
  <c r="Q91" i="25" s="1"/>
  <c r="Q117" i="25" s="1"/>
  <c r="Q144" i="25" s="1"/>
  <c r="Q172" i="25" s="1"/>
  <c r="Q201" i="25" s="1"/>
  <c r="Q232" i="25" s="1"/>
  <c r="Q43" i="25"/>
  <c r="Q67" i="25" s="1"/>
  <c r="Q92" i="25" s="1"/>
  <c r="Q118" i="25" s="1"/>
  <c r="Q145" i="25" s="1"/>
  <c r="Q173" i="25" s="1"/>
  <c r="Q202" i="25" s="1"/>
  <c r="Q233" i="25" s="1"/>
  <c r="Q44" i="25"/>
  <c r="Q68" i="25" s="1"/>
  <c r="Q93" i="25" s="1"/>
  <c r="Q119" i="25" s="1"/>
  <c r="Q146" i="25" s="1"/>
  <c r="Q174" i="25" s="1"/>
  <c r="Q203" i="25" s="1"/>
  <c r="Q234" i="25" s="1"/>
  <c r="Q45" i="25"/>
  <c r="Q69" i="25" s="1"/>
  <c r="Q94" i="25" s="1"/>
  <c r="Q120" i="25" s="1"/>
  <c r="Q147" i="25" s="1"/>
  <c r="Q175" i="25" s="1"/>
  <c r="Q204" i="25" s="1"/>
  <c r="Q235" i="25" s="1"/>
  <c r="J30" i="25"/>
  <c r="J31" i="25"/>
  <c r="J32" i="25"/>
  <c r="J33" i="25"/>
  <c r="J34" i="25"/>
  <c r="J35" i="25"/>
  <c r="J36" i="25"/>
  <c r="J37" i="25"/>
  <c r="J38" i="25"/>
  <c r="J62" i="25" s="1"/>
  <c r="J87" i="25" s="1"/>
  <c r="J113" i="25" s="1"/>
  <c r="J140" i="25" s="1"/>
  <c r="J168" i="25" s="1"/>
  <c r="J197" i="25" s="1"/>
  <c r="J228" i="25" s="1"/>
  <c r="J39" i="25"/>
  <c r="J63" i="25" s="1"/>
  <c r="J88" i="25" s="1"/>
  <c r="J114" i="25" s="1"/>
  <c r="J141" i="25" s="1"/>
  <c r="J169" i="25" s="1"/>
  <c r="J198" i="25" s="1"/>
  <c r="J229" i="25" s="1"/>
  <c r="J40" i="25"/>
  <c r="J64" i="25" s="1"/>
  <c r="J89" i="25" s="1"/>
  <c r="J115" i="25" s="1"/>
  <c r="J142" i="25" s="1"/>
  <c r="J170" i="25" s="1"/>
  <c r="J199" i="25" s="1"/>
  <c r="J230" i="25" s="1"/>
  <c r="J41" i="25"/>
  <c r="J65" i="25" s="1"/>
  <c r="J90" i="25" s="1"/>
  <c r="J116" i="25" s="1"/>
  <c r="J143" i="25" s="1"/>
  <c r="J171" i="25" s="1"/>
  <c r="J200" i="25" s="1"/>
  <c r="J231" i="25" s="1"/>
  <c r="J42" i="25"/>
  <c r="J66" i="25" s="1"/>
  <c r="J91" i="25" s="1"/>
  <c r="J117" i="25" s="1"/>
  <c r="J144" i="25" s="1"/>
  <c r="J172" i="25" s="1"/>
  <c r="J201" i="25" s="1"/>
  <c r="J232" i="25" s="1"/>
  <c r="J43" i="25"/>
  <c r="J67" i="25" s="1"/>
  <c r="J92" i="25" s="1"/>
  <c r="J118" i="25" s="1"/>
  <c r="J145" i="25" s="1"/>
  <c r="J173" i="25" s="1"/>
  <c r="J202" i="25" s="1"/>
  <c r="J233" i="25" s="1"/>
  <c r="J44" i="25"/>
  <c r="J68" i="25" s="1"/>
  <c r="J93" i="25" s="1"/>
  <c r="J119" i="25" s="1"/>
  <c r="J146" i="25" s="1"/>
  <c r="J174" i="25" s="1"/>
  <c r="J203" i="25" s="1"/>
  <c r="J234" i="25" s="1"/>
  <c r="D30" i="25"/>
  <c r="D31" i="25"/>
  <c r="D32" i="25"/>
  <c r="D33" i="25"/>
  <c r="D34" i="25"/>
  <c r="D35" i="25"/>
  <c r="D36" i="25"/>
  <c r="D37" i="25"/>
  <c r="D38" i="25"/>
  <c r="D62" i="25" s="1"/>
  <c r="D87" i="25" s="1"/>
  <c r="D113" i="25" s="1"/>
  <c r="D140" i="25" s="1"/>
  <c r="D168" i="25" s="1"/>
  <c r="D197" i="25" s="1"/>
  <c r="D228" i="25" s="1"/>
  <c r="D39" i="25"/>
  <c r="D63" i="25" s="1"/>
  <c r="D88" i="25" s="1"/>
  <c r="D114" i="25" s="1"/>
  <c r="D141" i="25" s="1"/>
  <c r="D169" i="25" s="1"/>
  <c r="D198" i="25" s="1"/>
  <c r="D229" i="25" s="1"/>
  <c r="D40" i="25"/>
  <c r="D64" i="25" s="1"/>
  <c r="D89" i="25" s="1"/>
  <c r="D115" i="25" s="1"/>
  <c r="D142" i="25" s="1"/>
  <c r="D170" i="25" s="1"/>
  <c r="D199" i="25" s="1"/>
  <c r="D230" i="25" s="1"/>
  <c r="D41" i="25"/>
  <c r="D65" i="25" s="1"/>
  <c r="D90" i="25" s="1"/>
  <c r="D116" i="25" s="1"/>
  <c r="D143" i="25" s="1"/>
  <c r="D171" i="25" s="1"/>
  <c r="D200" i="25" s="1"/>
  <c r="D231" i="25" s="1"/>
  <c r="D42" i="25"/>
  <c r="D66" i="25" s="1"/>
  <c r="D91" i="25" s="1"/>
  <c r="D117" i="25" s="1"/>
  <c r="D144" i="25" s="1"/>
  <c r="D172" i="25" s="1"/>
  <c r="D201" i="25" s="1"/>
  <c r="D232" i="25" s="1"/>
  <c r="D43" i="25"/>
  <c r="D67" i="25" s="1"/>
  <c r="D92" i="25" s="1"/>
  <c r="D118" i="25" s="1"/>
  <c r="D145" i="25" s="1"/>
  <c r="D173" i="25" s="1"/>
  <c r="D202" i="25" s="1"/>
  <c r="D233" i="25" s="1"/>
  <c r="D44" i="25"/>
  <c r="D68" i="25" s="1"/>
  <c r="D93" i="25" s="1"/>
  <c r="D119" i="25" s="1"/>
  <c r="D146" i="25" s="1"/>
  <c r="D174" i="25" s="1"/>
  <c r="D203" i="25" s="1"/>
  <c r="D234" i="25" s="1"/>
  <c r="D45" i="25"/>
  <c r="D69" i="25" s="1"/>
  <c r="D94" i="25" s="1"/>
  <c r="D120" i="25" s="1"/>
  <c r="D147" i="25" s="1"/>
  <c r="D175" i="25" s="1"/>
  <c r="D204" i="25" s="1"/>
  <c r="D235" i="25" s="1"/>
  <c r="B30" i="25"/>
  <c r="B31" i="25"/>
  <c r="B32" i="25"/>
  <c r="B33" i="25"/>
  <c r="B34" i="25"/>
  <c r="B35" i="25"/>
  <c r="B36" i="25"/>
  <c r="B37" i="25"/>
  <c r="B38" i="25"/>
  <c r="B39" i="25"/>
  <c r="B63" i="25" s="1"/>
  <c r="B40" i="25"/>
  <c r="B41" i="25"/>
  <c r="B42" i="25"/>
  <c r="B43" i="25"/>
  <c r="B44" i="25"/>
  <c r="B68" i="25" s="1"/>
  <c r="B93" i="25" s="1"/>
  <c r="B119" i="25" s="1"/>
  <c r="B146" i="25" s="1"/>
  <c r="B174" i="25" s="1"/>
  <c r="B203" i="25" s="1"/>
  <c r="B45" i="25"/>
  <c r="B69" i="25" s="1"/>
  <c r="B94" i="25" s="1"/>
  <c r="B120" i="25" s="1"/>
  <c r="B147" i="25" s="1"/>
  <c r="B175" i="25" s="1"/>
  <c r="J22" i="25"/>
  <c r="J45" i="25" s="1"/>
  <c r="J69" i="25" s="1"/>
  <c r="J94" i="25" s="1"/>
  <c r="J120" i="25" s="1"/>
  <c r="J147" i="25" s="1"/>
  <c r="J175" i="25" s="1"/>
  <c r="J204" i="25" s="1"/>
  <c r="J235" i="25" s="1"/>
  <c r="H19" i="25"/>
  <c r="H18" i="25"/>
  <c r="H17" i="25"/>
  <c r="H16" i="25"/>
  <c r="H15" i="25"/>
  <c r="H20" i="25"/>
  <c r="H21" i="25"/>
  <c r="H22" i="25"/>
  <c r="B23" i="25"/>
  <c r="D23" i="25"/>
  <c r="F23" i="25"/>
  <c r="Q23" i="25"/>
  <c r="A6" i="25"/>
  <c r="A7" i="25" s="1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B234" i="25" l="1"/>
  <c r="F150" i="25"/>
  <c r="F148" i="25"/>
  <c r="H203" i="25"/>
  <c r="B204" i="25"/>
  <c r="B88" i="25"/>
  <c r="B114" i="25" s="1"/>
  <c r="H63" i="25"/>
  <c r="B64" i="25"/>
  <c r="H38" i="25"/>
  <c r="B62" i="25"/>
  <c r="B87" i="25" s="1"/>
  <c r="B113" i="25" s="1"/>
  <c r="B140" i="25" s="1"/>
  <c r="B168" i="25" s="1"/>
  <c r="B67" i="25"/>
  <c r="B66" i="25"/>
  <c r="B65" i="25"/>
  <c r="H40" i="25"/>
  <c r="H39" i="25"/>
  <c r="H42" i="25"/>
  <c r="H41" i="25"/>
  <c r="I3" i="25"/>
  <c r="I25" i="25"/>
  <c r="I48" i="25" s="1"/>
  <c r="I72" i="25" s="1"/>
  <c r="I97" i="25" s="1"/>
  <c r="I123" i="25" s="1"/>
  <c r="I150" i="25" s="1"/>
  <c r="F46" i="25"/>
  <c r="F70" i="25"/>
  <c r="F95" i="25"/>
  <c r="E4" i="25"/>
  <c r="C4" i="25"/>
  <c r="C26" i="25" s="1"/>
  <c r="C49" i="25" s="1"/>
  <c r="C73" i="25" s="1"/>
  <c r="C98" i="25" s="1"/>
  <c r="C124" i="25" s="1"/>
  <c r="C151" i="25" s="1"/>
  <c r="H234" i="25" l="1"/>
  <c r="B235" i="25"/>
  <c r="F176" i="25"/>
  <c r="F178" i="25"/>
  <c r="B197" i="25"/>
  <c r="H62" i="25"/>
  <c r="H140" i="25"/>
  <c r="B141" i="25"/>
  <c r="H87" i="25"/>
  <c r="H113" i="25"/>
  <c r="B90" i="25"/>
  <c r="B116" i="25" s="1"/>
  <c r="H88" i="25"/>
  <c r="B89" i="25"/>
  <c r="B115" i="25" s="1"/>
  <c r="H64" i="25"/>
  <c r="B91" i="25"/>
  <c r="B117" i="25" s="1"/>
  <c r="H65" i="25"/>
  <c r="B92" i="25"/>
  <c r="B118" i="25" s="1"/>
  <c r="H66" i="25"/>
  <c r="S160" i="25"/>
  <c r="S186" i="25" s="1"/>
  <c r="S212" i="25" s="1"/>
  <c r="S161" i="25"/>
  <c r="S187" i="25" s="1"/>
  <c r="S213" i="25" s="1"/>
  <c r="S132" i="25"/>
  <c r="S159" i="25" s="1"/>
  <c r="S185" i="25" s="1"/>
  <c r="S211" i="25" s="1"/>
  <c r="S105" i="25"/>
  <c r="S103" i="25"/>
  <c r="S129" i="25" s="1"/>
  <c r="S156" i="25" s="1"/>
  <c r="S182" i="25" s="1"/>
  <c r="S208" i="25" s="1"/>
  <c r="S104" i="25"/>
  <c r="S130" i="25" s="1"/>
  <c r="S157" i="25" s="1"/>
  <c r="S183" i="25" s="1"/>
  <c r="S209" i="25" s="1"/>
  <c r="S76" i="25"/>
  <c r="S101" i="25" s="1"/>
  <c r="S127" i="25" s="1"/>
  <c r="S154" i="25" s="1"/>
  <c r="S180" i="25" s="1"/>
  <c r="S77" i="25"/>
  <c r="S102" i="25" s="1"/>
  <c r="S128" i="25" s="1"/>
  <c r="S155" i="25" s="1"/>
  <c r="S181" i="25" s="1"/>
  <c r="S50" i="25"/>
  <c r="S74" i="25" s="1"/>
  <c r="S99" i="25" s="1"/>
  <c r="S125" i="25" s="1"/>
  <c r="S152" i="25" s="1"/>
  <c r="S178" i="25" s="1"/>
  <c r="B228" i="25" l="1"/>
  <c r="F208" i="25"/>
  <c r="F236" i="25" s="1"/>
  <c r="F205" i="25"/>
  <c r="H168" i="25"/>
  <c r="B169" i="25"/>
  <c r="B145" i="25"/>
  <c r="B144" i="25"/>
  <c r="H141" i="25"/>
  <c r="B142" i="25"/>
  <c r="H142" i="25"/>
  <c r="B143" i="25"/>
  <c r="H91" i="25"/>
  <c r="H114" i="25"/>
  <c r="H115" i="25"/>
  <c r="H116" i="25"/>
  <c r="H117" i="25"/>
  <c r="H89" i="25"/>
  <c r="H90" i="25"/>
  <c r="S131" i="25"/>
  <c r="S158" i="25" s="1"/>
  <c r="S184" i="25" s="1"/>
  <c r="S210" i="25" s="1"/>
  <c r="P4" i="25"/>
  <c r="Q57" i="25"/>
  <c r="Q82" i="25" s="1"/>
  <c r="Q108" i="25" s="1"/>
  <c r="Q135" i="25" s="1"/>
  <c r="Q162" i="25" s="1"/>
  <c r="Q190" i="25" s="1"/>
  <c r="Q220" i="25" s="1"/>
  <c r="Q58" i="25"/>
  <c r="Q83" i="25" s="1"/>
  <c r="Q59" i="25"/>
  <c r="Q84" i="25" s="1"/>
  <c r="Q60" i="25"/>
  <c r="Q61" i="25"/>
  <c r="Q54" i="25"/>
  <c r="Q78" i="25" s="1"/>
  <c r="Q55" i="25"/>
  <c r="Q80" i="25" s="1"/>
  <c r="Q105" i="25" s="1"/>
  <c r="Q29" i="25"/>
  <c r="Q52" i="25" s="1"/>
  <c r="Q27" i="25"/>
  <c r="R28" i="25" s="1"/>
  <c r="R51" i="25" s="1"/>
  <c r="R75" i="25" s="1"/>
  <c r="R100" i="25" s="1"/>
  <c r="R126" i="25" s="1"/>
  <c r="R153" i="25" s="1"/>
  <c r="R179" i="25" s="1"/>
  <c r="Q25" i="25"/>
  <c r="Q48" i="25" s="1"/>
  <c r="Q72" i="25" s="1"/>
  <c r="Q97" i="25" s="1"/>
  <c r="Q123" i="25" s="1"/>
  <c r="Q150" i="25" s="1"/>
  <c r="Q178" i="25" s="1"/>
  <c r="Q208" i="25" s="1"/>
  <c r="A4" i="25"/>
  <c r="A26" i="25" s="1"/>
  <c r="S51" i="25"/>
  <c r="S75" i="25" s="1"/>
  <c r="S100" i="25" s="1"/>
  <c r="S126" i="25" s="1"/>
  <c r="S153" i="25" s="1"/>
  <c r="S179" i="25" s="1"/>
  <c r="B48" i="25"/>
  <c r="B72" i="25" s="1"/>
  <c r="B97" i="25" s="1"/>
  <c r="B123" i="25" s="1"/>
  <c r="B150" i="25" s="1"/>
  <c r="D48" i="25"/>
  <c r="A30" i="25"/>
  <c r="A54" i="25" s="1"/>
  <c r="A31" i="25"/>
  <c r="A55" i="25" s="1"/>
  <c r="A80" i="25" s="1"/>
  <c r="A105" i="25" s="1"/>
  <c r="A131" i="25" s="1"/>
  <c r="A158" i="25" s="1"/>
  <c r="A186" i="25" s="1"/>
  <c r="A216" i="25" s="1"/>
  <c r="A32" i="25"/>
  <c r="A56" i="25" s="1"/>
  <c r="A81" i="25" s="1"/>
  <c r="A107" i="25" s="1"/>
  <c r="A133" i="25" s="1"/>
  <c r="A134" i="25" s="1"/>
  <c r="A33" i="25"/>
  <c r="A57" i="25" s="1"/>
  <c r="A82" i="25" s="1"/>
  <c r="A108" i="25" s="1"/>
  <c r="A135" i="25" s="1"/>
  <c r="A162" i="25" s="1"/>
  <c r="A190" i="25" s="1"/>
  <c r="A220" i="25" s="1"/>
  <c r="A34" i="25"/>
  <c r="A58" i="25" s="1"/>
  <c r="A83" i="25" s="1"/>
  <c r="A109" i="25" s="1"/>
  <c r="A136" i="25" s="1"/>
  <c r="A164" i="25" s="1"/>
  <c r="A192" i="25" s="1"/>
  <c r="A35" i="25"/>
  <c r="A59" i="25" s="1"/>
  <c r="A84" i="25" s="1"/>
  <c r="A110" i="25" s="1"/>
  <c r="A137" i="25" s="1"/>
  <c r="A165" i="25" s="1"/>
  <c r="A194" i="25" s="1"/>
  <c r="A224" i="25" s="1"/>
  <c r="A225" i="25" s="1"/>
  <c r="A36" i="25"/>
  <c r="A37" i="25"/>
  <c r="A29" i="25"/>
  <c r="A52" i="25" s="1"/>
  <c r="A76" i="25" s="1"/>
  <c r="A101" i="25" s="1"/>
  <c r="A127" i="25" s="1"/>
  <c r="A154" i="25" s="1"/>
  <c r="A182" i="25" s="1"/>
  <c r="A212" i="25" s="1"/>
  <c r="A27" i="25"/>
  <c r="A28" i="25" s="1"/>
  <c r="A51" i="25" s="1"/>
  <c r="A75" i="25" s="1"/>
  <c r="A100" i="25" s="1"/>
  <c r="A126" i="25" s="1"/>
  <c r="A153" i="25" s="1"/>
  <c r="A181" i="25" s="1"/>
  <c r="A211" i="25" s="1"/>
  <c r="A25" i="25"/>
  <c r="A48" i="25" s="1"/>
  <c r="D61" i="25"/>
  <c r="D60" i="25"/>
  <c r="D85" i="25" s="1"/>
  <c r="B60" i="25"/>
  <c r="D59" i="25"/>
  <c r="D84" i="25" s="1"/>
  <c r="D58" i="25"/>
  <c r="D83" i="25" s="1"/>
  <c r="B58" i="25"/>
  <c r="D57" i="25"/>
  <c r="D82" i="25" s="1"/>
  <c r="D108" i="25" s="1"/>
  <c r="D135" i="25" s="1"/>
  <c r="D162" i="25" s="1"/>
  <c r="D190" i="25" s="1"/>
  <c r="D220" i="25" s="1"/>
  <c r="D56" i="25"/>
  <c r="D81" i="25" s="1"/>
  <c r="D107" i="25" s="1"/>
  <c r="D133" i="25" s="1"/>
  <c r="D160" i="25" s="1"/>
  <c r="D188" i="25" s="1"/>
  <c r="D218" i="25" s="1"/>
  <c r="D55" i="25"/>
  <c r="D80" i="25" s="1"/>
  <c r="D105" i="25" s="1"/>
  <c r="E106" i="25" s="1"/>
  <c r="D54" i="25"/>
  <c r="B54" i="25"/>
  <c r="D29" i="25"/>
  <c r="D52" i="25" s="1"/>
  <c r="E53" i="25" s="1"/>
  <c r="B29" i="25"/>
  <c r="B52" i="25" s="1"/>
  <c r="D27" i="25"/>
  <c r="E28" i="25" s="1"/>
  <c r="E51" i="25" s="1"/>
  <c r="B27" i="25"/>
  <c r="S26" i="25"/>
  <c r="S49" i="25" s="1"/>
  <c r="S25" i="25"/>
  <c r="S48" i="25" s="1"/>
  <c r="D25" i="25"/>
  <c r="B25" i="25"/>
  <c r="J61" i="25"/>
  <c r="H14" i="25"/>
  <c r="J60" i="25"/>
  <c r="H13" i="25"/>
  <c r="J59" i="25"/>
  <c r="J84" i="25" s="1"/>
  <c r="H12" i="25"/>
  <c r="J58" i="25"/>
  <c r="J83" i="25" s="1"/>
  <c r="H11" i="25"/>
  <c r="J57" i="25"/>
  <c r="J82" i="25" s="1"/>
  <c r="J108" i="25" s="1"/>
  <c r="J135" i="25" s="1"/>
  <c r="J162" i="25" s="1"/>
  <c r="J190" i="25" s="1"/>
  <c r="J220" i="25" s="1"/>
  <c r="H10" i="25"/>
  <c r="J56" i="25"/>
  <c r="J81" i="25" s="1"/>
  <c r="J107" i="25" s="1"/>
  <c r="J133" i="25" s="1"/>
  <c r="M134" i="25" s="1"/>
  <c r="L161" i="25" s="1"/>
  <c r="L189" i="25" s="1"/>
  <c r="L219" i="25" s="1"/>
  <c r="H9" i="25"/>
  <c r="J55" i="25"/>
  <c r="J80" i="25" s="1"/>
  <c r="J105" i="25" s="1"/>
  <c r="J131" i="25" s="1"/>
  <c r="J158" i="25" s="1"/>
  <c r="J186" i="25" s="1"/>
  <c r="J216" i="25" s="1"/>
  <c r="H8" i="25"/>
  <c r="J54" i="25"/>
  <c r="H7" i="25"/>
  <c r="J29" i="25"/>
  <c r="J52" i="25" s="1"/>
  <c r="M53" i="25" s="1"/>
  <c r="H6" i="25"/>
  <c r="H5" i="25"/>
  <c r="R4" i="25"/>
  <c r="R26" i="25" s="1"/>
  <c r="M4" i="25"/>
  <c r="K26" i="25" s="1"/>
  <c r="E26" i="25"/>
  <c r="J25" i="25"/>
  <c r="J48" i="25" s="1"/>
  <c r="J72" i="25" s="1"/>
  <c r="J97" i="25" s="1"/>
  <c r="J123" i="25" s="1"/>
  <c r="J150" i="25" s="1"/>
  <c r="J178" i="25" s="1"/>
  <c r="J208" i="25" s="1"/>
  <c r="H3" i="25"/>
  <c r="B178" i="25" l="1"/>
  <c r="A193" i="25"/>
  <c r="A223" i="25" s="1"/>
  <c r="A222" i="25"/>
  <c r="H197" i="25"/>
  <c r="B198" i="25"/>
  <c r="H169" i="25"/>
  <c r="B170" i="25"/>
  <c r="B171" i="25"/>
  <c r="B172" i="25"/>
  <c r="B173" i="25"/>
  <c r="B202" i="25" s="1"/>
  <c r="H143" i="25"/>
  <c r="H144" i="25"/>
  <c r="Q109" i="25"/>
  <c r="Q136" i="25" s="1"/>
  <c r="Q164" i="25" s="1"/>
  <c r="J109" i="25"/>
  <c r="J136" i="25" s="1"/>
  <c r="J164" i="25" s="1"/>
  <c r="J192" i="25" s="1"/>
  <c r="J222" i="25" s="1"/>
  <c r="D109" i="25"/>
  <c r="D136" i="25" s="1"/>
  <c r="D164" i="25" s="1"/>
  <c r="D110" i="25"/>
  <c r="D137" i="25" s="1"/>
  <c r="D165" i="25" s="1"/>
  <c r="Q110" i="25"/>
  <c r="J110" i="25"/>
  <c r="J137" i="25" s="1"/>
  <c r="J165" i="25" s="1"/>
  <c r="J194" i="25" s="1"/>
  <c r="D111" i="25"/>
  <c r="D138" i="25" s="1"/>
  <c r="D166" i="25" s="1"/>
  <c r="D195" i="25" s="1"/>
  <c r="J85" i="25"/>
  <c r="J111" i="25" s="1"/>
  <c r="J138" i="25" s="1"/>
  <c r="J166" i="25" s="1"/>
  <c r="J195" i="25" s="1"/>
  <c r="D86" i="25"/>
  <c r="J86" i="25"/>
  <c r="Q86" i="25"/>
  <c r="Q85" i="25"/>
  <c r="M191" i="25"/>
  <c r="M217" i="25" s="1"/>
  <c r="A163" i="25"/>
  <c r="A191" i="25" s="1"/>
  <c r="A221" i="25" s="1"/>
  <c r="M163" i="25"/>
  <c r="A60" i="25"/>
  <c r="A85" i="25" s="1"/>
  <c r="A111" i="25" s="1"/>
  <c r="A138" i="25" s="1"/>
  <c r="A166" i="25" s="1"/>
  <c r="A195" i="25" s="1"/>
  <c r="A61" i="25"/>
  <c r="A38" i="25"/>
  <c r="A39" i="25" s="1"/>
  <c r="A40" i="25" s="1"/>
  <c r="A41" i="25" s="1"/>
  <c r="A42" i="25" s="1"/>
  <c r="A43" i="25" s="1"/>
  <c r="I52" i="25"/>
  <c r="I76" i="25" s="1"/>
  <c r="I101" i="25" s="1"/>
  <c r="I127" i="25" s="1"/>
  <c r="I154" i="25" s="1"/>
  <c r="I180" i="25" s="1"/>
  <c r="H23" i="25"/>
  <c r="J27" i="25"/>
  <c r="M28" i="25" s="1"/>
  <c r="M51" i="25" s="1"/>
  <c r="M75" i="25" s="1"/>
  <c r="M100" i="25" s="1"/>
  <c r="M126" i="25" s="1"/>
  <c r="M153" i="25" s="1"/>
  <c r="M179" i="25" s="1"/>
  <c r="J23" i="25"/>
  <c r="I27" i="25"/>
  <c r="B76" i="25"/>
  <c r="B101" i="25" s="1"/>
  <c r="B127" i="25" s="1"/>
  <c r="B154" i="25" s="1"/>
  <c r="B182" i="25" s="1"/>
  <c r="B212" i="25" s="1"/>
  <c r="C53" i="25"/>
  <c r="C77" i="25" s="1"/>
  <c r="C102" i="25" s="1"/>
  <c r="C128" i="25" s="1"/>
  <c r="C155" i="25" s="1"/>
  <c r="C181" i="25" s="1"/>
  <c r="E49" i="25"/>
  <c r="E73" i="25" s="1"/>
  <c r="E98" i="25" s="1"/>
  <c r="C28" i="25"/>
  <c r="C51" i="25" s="1"/>
  <c r="C75" i="25" s="1"/>
  <c r="C100" i="25" s="1"/>
  <c r="C126" i="25" s="1"/>
  <c r="C153" i="25" s="1"/>
  <c r="C179" i="25" s="1"/>
  <c r="K49" i="25"/>
  <c r="K73" i="25" s="1"/>
  <c r="K98" i="25" s="1"/>
  <c r="K124" i="25" s="1"/>
  <c r="K151" i="25" s="1"/>
  <c r="K179" i="25" s="1"/>
  <c r="K209" i="25" s="1"/>
  <c r="A160" i="25"/>
  <c r="A188" i="25" s="1"/>
  <c r="A218" i="25" s="1"/>
  <c r="E163" i="25"/>
  <c r="E189" i="25" s="1"/>
  <c r="E215" i="25" s="1"/>
  <c r="R163" i="25"/>
  <c r="R189" i="25" s="1"/>
  <c r="R215" i="25" s="1"/>
  <c r="M161" i="25"/>
  <c r="M187" i="25" s="1"/>
  <c r="M213" i="25" s="1"/>
  <c r="E134" i="25"/>
  <c r="E161" i="25" s="1"/>
  <c r="E187" i="25" s="1"/>
  <c r="E213" i="25" s="1"/>
  <c r="E77" i="25"/>
  <c r="E102" i="25" s="1"/>
  <c r="E132" i="25"/>
  <c r="E159" i="25" s="1"/>
  <c r="E185" i="25" s="1"/>
  <c r="E211" i="25" s="1"/>
  <c r="J160" i="25"/>
  <c r="J188" i="25" s="1"/>
  <c r="J218" i="25" s="1"/>
  <c r="H58" i="25"/>
  <c r="H67" i="25"/>
  <c r="Q50" i="25"/>
  <c r="Q74" i="25" s="1"/>
  <c r="Q99" i="25" s="1"/>
  <c r="Q125" i="25" s="1"/>
  <c r="Q152" i="25" s="1"/>
  <c r="Q180" i="25" s="1"/>
  <c r="Q210" i="25" s="1"/>
  <c r="R79" i="25"/>
  <c r="R104" i="25" s="1"/>
  <c r="Q131" i="25"/>
  <c r="Q158" i="25" s="1"/>
  <c r="Q186" i="25" s="1"/>
  <c r="Q216" i="25" s="1"/>
  <c r="R106" i="25"/>
  <c r="D131" i="25"/>
  <c r="D158" i="25" s="1"/>
  <c r="D186" i="25" s="1"/>
  <c r="D216" i="25" s="1"/>
  <c r="Q46" i="25"/>
  <c r="Q56" i="25"/>
  <c r="Q81" i="25" s="1"/>
  <c r="Q107" i="25" s="1"/>
  <c r="Q133" i="25" s="1"/>
  <c r="Q103" i="25"/>
  <c r="Q129" i="25" s="1"/>
  <c r="Q156" i="25" s="1"/>
  <c r="Q184" i="25" s="1"/>
  <c r="Q214" i="25" s="1"/>
  <c r="M106" i="25"/>
  <c r="R53" i="25"/>
  <c r="R77" i="25" s="1"/>
  <c r="R102" i="25" s="1"/>
  <c r="Q76" i="25"/>
  <c r="Q101" i="25" s="1"/>
  <c r="Q127" i="25" s="1"/>
  <c r="Q154" i="25" s="1"/>
  <c r="Q182" i="25" s="1"/>
  <c r="Q212" i="25" s="1"/>
  <c r="D76" i="25"/>
  <c r="D101" i="25" s="1"/>
  <c r="D127" i="25" s="1"/>
  <c r="M77" i="25"/>
  <c r="M102" i="25" s="1"/>
  <c r="M128" i="25" s="1"/>
  <c r="M155" i="25" s="1"/>
  <c r="M181" i="25" s="1"/>
  <c r="J76" i="25"/>
  <c r="J101" i="25" s="1"/>
  <c r="J127" i="25" s="1"/>
  <c r="J154" i="25" s="1"/>
  <c r="J182" i="25" s="1"/>
  <c r="J212" i="25" s="1"/>
  <c r="A78" i="25"/>
  <c r="A79" i="25"/>
  <c r="A104" i="25" s="1"/>
  <c r="A130" i="25" s="1"/>
  <c r="A157" i="25" s="1"/>
  <c r="A185" i="25" s="1"/>
  <c r="A215" i="25" s="1"/>
  <c r="H31" i="25"/>
  <c r="H35" i="25"/>
  <c r="H48" i="25"/>
  <c r="A53" i="25"/>
  <c r="A77" i="25" s="1"/>
  <c r="A102" i="25" s="1"/>
  <c r="A128" i="25" s="1"/>
  <c r="A155" i="25" s="1"/>
  <c r="A183" i="25" s="1"/>
  <c r="A213" i="25" s="1"/>
  <c r="H33" i="25"/>
  <c r="H37" i="25"/>
  <c r="A50" i="25"/>
  <c r="A74" i="25" s="1"/>
  <c r="A99" i="25" s="1"/>
  <c r="A125" i="25" s="1"/>
  <c r="A152" i="25" s="1"/>
  <c r="A180" i="25" s="1"/>
  <c r="A210" i="25" s="1"/>
  <c r="J78" i="25"/>
  <c r="B61" i="25"/>
  <c r="B86" i="25" s="1"/>
  <c r="B112" i="25" s="1"/>
  <c r="B139" i="25" s="1"/>
  <c r="A72" i="25"/>
  <c r="A97" i="25" s="1"/>
  <c r="A123" i="25" s="1"/>
  <c r="A150" i="25" s="1"/>
  <c r="A178" i="25" s="1"/>
  <c r="A208" i="25" s="1"/>
  <c r="H68" i="25"/>
  <c r="S72" i="25"/>
  <c r="S97" i="25" s="1"/>
  <c r="L77" i="25"/>
  <c r="H60" i="25"/>
  <c r="B85" i="25"/>
  <c r="B111" i="25" s="1"/>
  <c r="H54" i="25"/>
  <c r="B78" i="25"/>
  <c r="S73" i="25"/>
  <c r="S98" i="25" s="1"/>
  <c r="B83" i="25"/>
  <c r="B109" i="25" s="1"/>
  <c r="O4" i="25"/>
  <c r="O26" i="25" s="1"/>
  <c r="O49" i="25" s="1"/>
  <c r="O73" i="25" s="1"/>
  <c r="O98" i="25" s="1"/>
  <c r="O124" i="25" s="1"/>
  <c r="O151" i="25" s="1"/>
  <c r="H32" i="25"/>
  <c r="B57" i="25"/>
  <c r="B82" i="25" s="1"/>
  <c r="B108" i="25" s="1"/>
  <c r="D78" i="25"/>
  <c r="E79" i="25" s="1"/>
  <c r="D50" i="25"/>
  <c r="D74" i="25" s="1"/>
  <c r="D99" i="25" s="1"/>
  <c r="D125" i="25" s="1"/>
  <c r="D152" i="25" s="1"/>
  <c r="D180" i="25" s="1"/>
  <c r="D210" i="25" s="1"/>
  <c r="H69" i="25"/>
  <c r="A49" i="25"/>
  <c r="A73" i="25" s="1"/>
  <c r="A98" i="25" s="1"/>
  <c r="A124" i="25" s="1"/>
  <c r="A151" i="25" s="1"/>
  <c r="A179" i="25" s="1"/>
  <c r="A209" i="25" s="1"/>
  <c r="D72" i="25"/>
  <c r="D97" i="25" s="1"/>
  <c r="D123" i="25" s="1"/>
  <c r="H52" i="25"/>
  <c r="H30" i="25"/>
  <c r="B56" i="25"/>
  <c r="B59" i="25"/>
  <c r="B55" i="25"/>
  <c r="B50" i="25"/>
  <c r="B74" i="25" s="1"/>
  <c r="H29" i="25"/>
  <c r="H36" i="25"/>
  <c r="H45" i="25"/>
  <c r="B46" i="25"/>
  <c r="H44" i="25"/>
  <c r="H25" i="25"/>
  <c r="P28" i="25"/>
  <c r="H43" i="25"/>
  <c r="H34" i="25"/>
  <c r="E75" i="25"/>
  <c r="E100" i="25" s="1"/>
  <c r="D46" i="25"/>
  <c r="P26" i="25"/>
  <c r="P49" i="25" s="1"/>
  <c r="P73" i="25" s="1"/>
  <c r="P98" i="25" s="1"/>
  <c r="P124" i="25" s="1"/>
  <c r="P151" i="25" s="1"/>
  <c r="H27" i="25"/>
  <c r="M26" i="25"/>
  <c r="M49" i="25" s="1"/>
  <c r="M73" i="25" s="1"/>
  <c r="M98" i="25" s="1"/>
  <c r="M124" i="25" s="1"/>
  <c r="M151" i="25" s="1"/>
  <c r="I50" i="25" l="1"/>
  <c r="I74" i="25" s="1"/>
  <c r="I99" i="25" s="1"/>
  <c r="I125" i="25" s="1"/>
  <c r="I152" i="25" s="1"/>
  <c r="I178" i="25" s="1"/>
  <c r="J226" i="25"/>
  <c r="H228" i="25"/>
  <c r="B229" i="25"/>
  <c r="M223" i="25"/>
  <c r="J224" i="25"/>
  <c r="M225" i="25" s="1"/>
  <c r="B233" i="25"/>
  <c r="H233" i="25" s="1"/>
  <c r="D226" i="25"/>
  <c r="B208" i="25"/>
  <c r="E191" i="25"/>
  <c r="E217" i="25" s="1"/>
  <c r="D192" i="25"/>
  <c r="B200" i="25"/>
  <c r="M193" i="25"/>
  <c r="M221" i="25"/>
  <c r="H198" i="25"/>
  <c r="B199" i="25"/>
  <c r="R191" i="25"/>
  <c r="R217" i="25" s="1"/>
  <c r="Q192" i="25"/>
  <c r="B201" i="25"/>
  <c r="A196" i="25"/>
  <c r="A226" i="25"/>
  <c r="D194" i="25"/>
  <c r="H172" i="25"/>
  <c r="H171" i="25"/>
  <c r="H170" i="25"/>
  <c r="Q137" i="25"/>
  <c r="Q165" i="25" s="1"/>
  <c r="D112" i="25"/>
  <c r="J112" i="25"/>
  <c r="J139" i="25" s="1"/>
  <c r="Q111" i="25"/>
  <c r="Q138" i="25" s="1"/>
  <c r="Q112" i="25"/>
  <c r="A86" i="25"/>
  <c r="A62" i="25"/>
  <c r="A63" i="25" s="1"/>
  <c r="A64" i="25" s="1"/>
  <c r="A65" i="25" s="1"/>
  <c r="A66" i="25" s="1"/>
  <c r="A161" i="25"/>
  <c r="A189" i="25" s="1"/>
  <c r="A219" i="25" s="1"/>
  <c r="M189" i="25"/>
  <c r="M215" i="25" s="1"/>
  <c r="L102" i="25"/>
  <c r="L128" i="25" s="1"/>
  <c r="L155" i="25" s="1"/>
  <c r="L183" i="25" s="1"/>
  <c r="L213" i="25" s="1"/>
  <c r="J50" i="25"/>
  <c r="J74" i="25" s="1"/>
  <c r="J99" i="25" s="1"/>
  <c r="J125" i="25" s="1"/>
  <c r="J152" i="25" s="1"/>
  <c r="J180" i="25" s="1"/>
  <c r="J210" i="25" s="1"/>
  <c r="A44" i="25"/>
  <c r="A67" i="25"/>
  <c r="A92" i="25" s="1"/>
  <c r="A118" i="25" s="1"/>
  <c r="A145" i="25" s="1"/>
  <c r="A173" i="25" s="1"/>
  <c r="J46" i="25"/>
  <c r="L51" i="25"/>
  <c r="I78" i="25"/>
  <c r="I103" i="25" s="1"/>
  <c r="I129" i="25" s="1"/>
  <c r="I156" i="25" s="1"/>
  <c r="I182" i="25" s="1"/>
  <c r="I208" i="25" s="1"/>
  <c r="C79" i="25"/>
  <c r="C104" i="25" s="1"/>
  <c r="C130" i="25" s="1"/>
  <c r="C157" i="25" s="1"/>
  <c r="C183" i="25" s="1"/>
  <c r="C209" i="25" s="1"/>
  <c r="P53" i="25"/>
  <c r="H123" i="25"/>
  <c r="D150" i="25"/>
  <c r="H127" i="25"/>
  <c r="D154" i="25"/>
  <c r="D182" i="25" s="1"/>
  <c r="D212" i="25" s="1"/>
  <c r="Q160" i="25"/>
  <c r="Q188" i="25" s="1"/>
  <c r="Q218" i="25" s="1"/>
  <c r="R134" i="25"/>
  <c r="R161" i="25" s="1"/>
  <c r="R187" i="25" s="1"/>
  <c r="R213" i="25" s="1"/>
  <c r="E126" i="25"/>
  <c r="E153" i="25" s="1"/>
  <c r="E179" i="25" s="1"/>
  <c r="E124" i="25"/>
  <c r="E151" i="25" s="1"/>
  <c r="R130" i="25"/>
  <c r="R157" i="25" s="1"/>
  <c r="R183" i="25" s="1"/>
  <c r="R209" i="25" s="1"/>
  <c r="Q70" i="25"/>
  <c r="H76" i="25"/>
  <c r="H101" i="25"/>
  <c r="N4" i="25"/>
  <c r="H97" i="25"/>
  <c r="R128" i="25"/>
  <c r="R155" i="25" s="1"/>
  <c r="R181" i="25" s="1"/>
  <c r="Q95" i="25"/>
  <c r="M132" i="25"/>
  <c r="M159" i="25" s="1"/>
  <c r="M185" i="25" s="1"/>
  <c r="M211" i="25" s="1"/>
  <c r="R132" i="25"/>
  <c r="R159" i="25" s="1"/>
  <c r="R185" i="25" s="1"/>
  <c r="R211" i="25" s="1"/>
  <c r="J103" i="25"/>
  <c r="J129" i="25" s="1"/>
  <c r="M79" i="25"/>
  <c r="H61" i="25"/>
  <c r="S124" i="25"/>
  <c r="S151" i="25" s="1"/>
  <c r="S123" i="25"/>
  <c r="S150" i="25" s="1"/>
  <c r="R49" i="25"/>
  <c r="R73" i="25" s="1"/>
  <c r="R98" i="25" s="1"/>
  <c r="R124" i="25" s="1"/>
  <c r="R151" i="25" s="1"/>
  <c r="H82" i="25"/>
  <c r="H74" i="25"/>
  <c r="B99" i="25"/>
  <c r="B125" i="25" s="1"/>
  <c r="B152" i="25" s="1"/>
  <c r="B180" i="25" s="1"/>
  <c r="B210" i="25" s="1"/>
  <c r="H210" i="25" s="1"/>
  <c r="A106" i="25"/>
  <c r="A132" i="25" s="1"/>
  <c r="A159" i="25" s="1"/>
  <c r="A187" i="25" s="1"/>
  <c r="A217" i="25" s="1"/>
  <c r="A103" i="25"/>
  <c r="A129" i="25" s="1"/>
  <c r="A156" i="25" s="1"/>
  <c r="A184" i="25" s="1"/>
  <c r="A214" i="25" s="1"/>
  <c r="B103" i="25"/>
  <c r="B129" i="25" s="1"/>
  <c r="B156" i="25" s="1"/>
  <c r="B184" i="25" s="1"/>
  <c r="B214" i="25" s="1"/>
  <c r="H93" i="25"/>
  <c r="H94" i="25"/>
  <c r="H85" i="25"/>
  <c r="B138" i="25"/>
  <c r="B166" i="25" s="1"/>
  <c r="B195" i="25" s="1"/>
  <c r="B226" i="25" s="1"/>
  <c r="H92" i="25"/>
  <c r="H86" i="25"/>
  <c r="B167" i="25"/>
  <c r="B196" i="25" s="1"/>
  <c r="B227" i="25" s="1"/>
  <c r="D103" i="25"/>
  <c r="D129" i="25" s="1"/>
  <c r="H83" i="25"/>
  <c r="B136" i="25"/>
  <c r="B164" i="25" s="1"/>
  <c r="B192" i="25" s="1"/>
  <c r="B222" i="25" s="1"/>
  <c r="H72" i="25"/>
  <c r="H57" i="25"/>
  <c r="H59" i="25"/>
  <c r="B84" i="25"/>
  <c r="B110" i="25" s="1"/>
  <c r="H56" i="25"/>
  <c r="B81" i="25"/>
  <c r="B107" i="25" s="1"/>
  <c r="O28" i="25"/>
  <c r="O51" i="25" s="1"/>
  <c r="O75" i="25" s="1"/>
  <c r="O100" i="25" s="1"/>
  <c r="O126" i="25" s="1"/>
  <c r="O153" i="25" s="1"/>
  <c r="O179" i="25" s="1"/>
  <c r="P51" i="25"/>
  <c r="P75" i="25" s="1"/>
  <c r="P100" i="25" s="1"/>
  <c r="P126" i="25" s="1"/>
  <c r="P153" i="25" s="1"/>
  <c r="P179" i="25" s="1"/>
  <c r="D70" i="25"/>
  <c r="D95" i="25"/>
  <c r="H55" i="25"/>
  <c r="B80" i="25"/>
  <c r="H78" i="25"/>
  <c r="H50" i="25"/>
  <c r="B70" i="25"/>
  <c r="L26" i="25"/>
  <c r="H46" i="25"/>
  <c r="B231" i="25" l="1"/>
  <c r="E221" i="25"/>
  <c r="D222" i="25"/>
  <c r="R221" i="25"/>
  <c r="Q222" i="25"/>
  <c r="E223" i="25"/>
  <c r="D224" i="25"/>
  <c r="E225" i="25" s="1"/>
  <c r="E193" i="25"/>
  <c r="E219" i="25" s="1"/>
  <c r="H231" i="25"/>
  <c r="B232" i="25"/>
  <c r="H232" i="25" s="1"/>
  <c r="H229" i="25"/>
  <c r="B230" i="25"/>
  <c r="H230" i="25" s="1"/>
  <c r="D178" i="25"/>
  <c r="H150" i="25"/>
  <c r="R193" i="25"/>
  <c r="R219" i="25" s="1"/>
  <c r="Q194" i="25"/>
  <c r="H212" i="25"/>
  <c r="A197" i="25"/>
  <c r="A198" i="25" s="1"/>
  <c r="A199" i="25" s="1"/>
  <c r="A200" i="25" s="1"/>
  <c r="A201" i="25" s="1"/>
  <c r="A202" i="25" s="1"/>
  <c r="A203" i="25" s="1"/>
  <c r="A204" i="25" s="1"/>
  <c r="A227" i="25"/>
  <c r="A228" i="25" s="1"/>
  <c r="A229" i="25" s="1"/>
  <c r="A230" i="25" s="1"/>
  <c r="A231" i="25" s="1"/>
  <c r="A232" i="25" s="1"/>
  <c r="A233" i="25" s="1"/>
  <c r="A234" i="25" s="1"/>
  <c r="A235" i="25" s="1"/>
  <c r="M219" i="25"/>
  <c r="H200" i="25"/>
  <c r="H199" i="25"/>
  <c r="C225" i="25"/>
  <c r="N225" i="25" s="1"/>
  <c r="H224" i="25"/>
  <c r="Q139" i="25"/>
  <c r="Q167" i="25" s="1"/>
  <c r="Q196" i="25" s="1"/>
  <c r="Q227" i="25" s="1"/>
  <c r="J167" i="25"/>
  <c r="J196" i="25" s="1"/>
  <c r="J227" i="25" s="1"/>
  <c r="D139" i="25"/>
  <c r="H139" i="25" s="1"/>
  <c r="Q166" i="25"/>
  <c r="Q195" i="25" s="1"/>
  <c r="Q121" i="25"/>
  <c r="A112" i="25"/>
  <c r="A87" i="25"/>
  <c r="A88" i="25" s="1"/>
  <c r="A89" i="25" s="1"/>
  <c r="A90" i="25" s="1"/>
  <c r="A91" i="25" s="1"/>
  <c r="H190" i="25"/>
  <c r="H174" i="25"/>
  <c r="H201" i="25"/>
  <c r="H154" i="25"/>
  <c r="H173" i="25"/>
  <c r="H195" i="25"/>
  <c r="H166" i="25"/>
  <c r="L49" i="25"/>
  <c r="L73" i="25" s="1"/>
  <c r="L98" i="25" s="1"/>
  <c r="L124" i="25" s="1"/>
  <c r="L151" i="25" s="1"/>
  <c r="L179" i="25" s="1"/>
  <c r="L209" i="25" s="1"/>
  <c r="J95" i="25"/>
  <c r="J70" i="25"/>
  <c r="A45" i="25"/>
  <c r="A69" i="25" s="1"/>
  <c r="A94" i="25" s="1"/>
  <c r="A120" i="25" s="1"/>
  <c r="A147" i="25" s="1"/>
  <c r="A175" i="25" s="1"/>
  <c r="A68" i="25"/>
  <c r="A93" i="25" s="1"/>
  <c r="N26" i="25"/>
  <c r="K51" i="25" s="1"/>
  <c r="N23" i="25"/>
  <c r="H152" i="25"/>
  <c r="H108" i="25"/>
  <c r="B135" i="25"/>
  <c r="B162" i="25" s="1"/>
  <c r="B190" i="25" s="1"/>
  <c r="J148" i="25"/>
  <c r="J156" i="25"/>
  <c r="J184" i="25" s="1"/>
  <c r="J214" i="25" s="1"/>
  <c r="H164" i="25"/>
  <c r="P79" i="25"/>
  <c r="D156" i="25"/>
  <c r="D184" i="25" s="1"/>
  <c r="D214" i="25" s="1"/>
  <c r="E104" i="25"/>
  <c r="E130" i="25" s="1"/>
  <c r="E157" i="25" s="1"/>
  <c r="E183" i="25" s="1"/>
  <c r="E209" i="25" s="1"/>
  <c r="J121" i="25"/>
  <c r="D121" i="25"/>
  <c r="L75" i="25"/>
  <c r="O53" i="25"/>
  <c r="O77" i="25" s="1"/>
  <c r="O102" i="25" s="1"/>
  <c r="O128" i="25" s="1"/>
  <c r="O155" i="25" s="1"/>
  <c r="O181" i="25" s="1"/>
  <c r="H125" i="25"/>
  <c r="M104" i="25"/>
  <c r="M130" i="25" s="1"/>
  <c r="M157" i="25" s="1"/>
  <c r="M183" i="25" s="1"/>
  <c r="M209" i="25" s="1"/>
  <c r="H112" i="25"/>
  <c r="H111" i="25"/>
  <c r="H138" i="25"/>
  <c r="B105" i="25"/>
  <c r="I105" i="25" s="1"/>
  <c r="H119" i="25"/>
  <c r="H146" i="25"/>
  <c r="H118" i="25"/>
  <c r="H145" i="25"/>
  <c r="L132" i="25"/>
  <c r="H109" i="25"/>
  <c r="H136" i="25"/>
  <c r="H129" i="25"/>
  <c r="H103" i="25"/>
  <c r="H81" i="25"/>
  <c r="P77" i="25"/>
  <c r="P102" i="25" s="1"/>
  <c r="P128" i="25" s="1"/>
  <c r="P155" i="25" s="1"/>
  <c r="P181" i="25" s="1"/>
  <c r="H84" i="25"/>
  <c r="B137" i="25"/>
  <c r="B165" i="25" s="1"/>
  <c r="B194" i="25" s="1"/>
  <c r="B224" i="25" s="1"/>
  <c r="E128" i="25"/>
  <c r="H99" i="25"/>
  <c r="H70" i="25"/>
  <c r="H80" i="25"/>
  <c r="B95" i="25"/>
  <c r="H175" i="25" s="1"/>
  <c r="D208" i="25" l="1"/>
  <c r="H208" i="25" s="1"/>
  <c r="H178" i="25"/>
  <c r="R223" i="25"/>
  <c r="Q224" i="25"/>
  <c r="R225" i="25" s="1"/>
  <c r="B220" i="25"/>
  <c r="Q148" i="25"/>
  <c r="I190" i="25"/>
  <c r="I216" i="25" s="1"/>
  <c r="Q226" i="25"/>
  <c r="H222" i="25"/>
  <c r="D148" i="25"/>
  <c r="Q176" i="25"/>
  <c r="Q205" i="25" s="1"/>
  <c r="Q236" i="25" s="1"/>
  <c r="D167" i="25"/>
  <c r="D196" i="25" s="1"/>
  <c r="D227" i="25" s="1"/>
  <c r="H227" i="25" s="1"/>
  <c r="H147" i="25"/>
  <c r="H120" i="25"/>
  <c r="A119" i="25"/>
  <c r="A146" i="25" s="1"/>
  <c r="A174" i="25" s="1"/>
  <c r="A139" i="25"/>
  <c r="A113" i="25"/>
  <c r="A114" i="25" s="1"/>
  <c r="A115" i="25" s="1"/>
  <c r="A116" i="25" s="1"/>
  <c r="A117" i="25" s="1"/>
  <c r="H165" i="25"/>
  <c r="J176" i="25"/>
  <c r="J205" i="25"/>
  <c r="J236" i="25" s="1"/>
  <c r="H182" i="25"/>
  <c r="H180" i="25"/>
  <c r="L159" i="25"/>
  <c r="L187" i="25" s="1"/>
  <c r="L217" i="25" s="1"/>
  <c r="N49" i="25"/>
  <c r="K75" i="25" s="1"/>
  <c r="K100" i="25" s="1"/>
  <c r="K126" i="25" s="1"/>
  <c r="K153" i="25" s="1"/>
  <c r="K181" i="25" s="1"/>
  <c r="K211" i="25" s="1"/>
  <c r="N28" i="25"/>
  <c r="N51" i="25" s="1"/>
  <c r="N75" i="25" s="1"/>
  <c r="N100" i="25" s="1"/>
  <c r="N126" i="25" s="1"/>
  <c r="N153" i="25" s="1"/>
  <c r="N179" i="25" s="1"/>
  <c r="H105" i="25"/>
  <c r="I131" i="25"/>
  <c r="I158" i="25" s="1"/>
  <c r="I184" i="25" s="1"/>
  <c r="I210" i="25" s="1"/>
  <c r="C106" i="25"/>
  <c r="C132" i="25" s="1"/>
  <c r="C159" i="25" s="1"/>
  <c r="C185" i="25" s="1"/>
  <c r="C211" i="25" s="1"/>
  <c r="P106" i="25"/>
  <c r="P134" i="25"/>
  <c r="P161" i="25" s="1"/>
  <c r="P187" i="25" s="1"/>
  <c r="P213" i="25" s="1"/>
  <c r="H156" i="25"/>
  <c r="P163" i="25"/>
  <c r="E155" i="25"/>
  <c r="E181" i="25" s="1"/>
  <c r="B121" i="25"/>
  <c r="L100" i="25"/>
  <c r="H110" i="25"/>
  <c r="H137" i="25"/>
  <c r="P104" i="25"/>
  <c r="P130" i="25" s="1"/>
  <c r="P157" i="25" s="1"/>
  <c r="P183" i="25" s="1"/>
  <c r="P209" i="25" s="1"/>
  <c r="O79" i="25"/>
  <c r="O104" i="25" s="1"/>
  <c r="O130" i="25" s="1"/>
  <c r="O157" i="25" s="1"/>
  <c r="O183" i="25" s="1"/>
  <c r="O209" i="25" s="1"/>
  <c r="B131" i="25"/>
  <c r="B158" i="25" s="1"/>
  <c r="B186" i="25" s="1"/>
  <c r="B216" i="25" s="1"/>
  <c r="H135" i="25"/>
  <c r="H107" i="25"/>
  <c r="B133" i="25"/>
  <c r="H95" i="25"/>
  <c r="L104" i="25"/>
  <c r="I220" i="25" l="1"/>
  <c r="H220" i="25"/>
  <c r="I133" i="25"/>
  <c r="I160" i="25" s="1"/>
  <c r="I186" i="25" s="1"/>
  <c r="I212" i="25" s="1"/>
  <c r="B160" i="25"/>
  <c r="B188" i="25" s="1"/>
  <c r="H214" i="25"/>
  <c r="D176" i="25"/>
  <c r="H196" i="25"/>
  <c r="H194" i="25"/>
  <c r="H167" i="25"/>
  <c r="A167" i="25"/>
  <c r="A168" i="25" s="1"/>
  <c r="A169" i="25" s="1"/>
  <c r="A170" i="25" s="1"/>
  <c r="A171" i="25" s="1"/>
  <c r="A172" i="25" s="1"/>
  <c r="A140" i="25"/>
  <c r="A141" i="25" s="1"/>
  <c r="A142" i="25" s="1"/>
  <c r="A143" i="25" s="1"/>
  <c r="A144" i="25" s="1"/>
  <c r="N73" i="25"/>
  <c r="N98" i="25" s="1"/>
  <c r="H202" i="25"/>
  <c r="H192" i="25"/>
  <c r="C193" i="25"/>
  <c r="C223" i="25" s="1"/>
  <c r="N223" i="25" s="1"/>
  <c r="N46" i="25"/>
  <c r="H184" i="25"/>
  <c r="O163" i="25"/>
  <c r="O189" i="25" s="1"/>
  <c r="O215" i="25" s="1"/>
  <c r="P189" i="25"/>
  <c r="P215" i="25" s="1"/>
  <c r="I162" i="25"/>
  <c r="I188" i="25" s="1"/>
  <c r="I214" i="25" s="1"/>
  <c r="H188" i="25"/>
  <c r="N53" i="25"/>
  <c r="N77" i="25" s="1"/>
  <c r="N102" i="25" s="1"/>
  <c r="N128" i="25" s="1"/>
  <c r="N155" i="25" s="1"/>
  <c r="N181" i="25" s="1"/>
  <c r="C163" i="25"/>
  <c r="C191" i="25" s="1"/>
  <c r="C217" i="25" s="1"/>
  <c r="C134" i="25"/>
  <c r="H162" i="25"/>
  <c r="H121" i="25"/>
  <c r="H158" i="25"/>
  <c r="K77" i="25"/>
  <c r="L126" i="25"/>
  <c r="L153" i="25" s="1"/>
  <c r="L181" i="25" s="1"/>
  <c r="L211" i="25" s="1"/>
  <c r="L130" i="25"/>
  <c r="L157" i="25" s="1"/>
  <c r="L185" i="25" s="1"/>
  <c r="L215" i="25" s="1"/>
  <c r="H131" i="25"/>
  <c r="B148" i="25"/>
  <c r="P132" i="25"/>
  <c r="P159" i="25" s="1"/>
  <c r="P185" i="25" s="1"/>
  <c r="P211" i="25" s="1"/>
  <c r="O106" i="25"/>
  <c r="O132" i="25" s="1"/>
  <c r="O159" i="25" s="1"/>
  <c r="O185" i="25" s="1"/>
  <c r="O211" i="25" s="1"/>
  <c r="H133" i="25"/>
  <c r="N70" i="25" l="1"/>
  <c r="H216" i="25"/>
  <c r="B218" i="25"/>
  <c r="H218" i="25" s="1"/>
  <c r="C219" i="25"/>
  <c r="C221" i="25"/>
  <c r="H226" i="25"/>
  <c r="D205" i="25"/>
  <c r="D236" i="25" s="1"/>
  <c r="H160" i="25"/>
  <c r="H176" i="25" s="1"/>
  <c r="C189" i="25"/>
  <c r="C215" i="25" s="1"/>
  <c r="C161" i="25"/>
  <c r="C187" i="25" s="1"/>
  <c r="C213" i="25" s="1"/>
  <c r="K104" i="25"/>
  <c r="B176" i="25"/>
  <c r="K102" i="25"/>
  <c r="K128" i="25" s="1"/>
  <c r="K155" i="25" s="1"/>
  <c r="O134" i="25"/>
  <c r="O161" i="25" s="1"/>
  <c r="O187" i="25" s="1"/>
  <c r="O213" i="25" s="1"/>
  <c r="H148" i="25"/>
  <c r="N124" i="25"/>
  <c r="N151" i="25" s="1"/>
  <c r="N79" i="25"/>
  <c r="N193" i="25" l="1"/>
  <c r="N219" i="25" s="1"/>
  <c r="N221" i="25"/>
  <c r="H204" i="25"/>
  <c r="P191" i="25"/>
  <c r="H186" i="25"/>
  <c r="B205" i="25"/>
  <c r="N104" i="25"/>
  <c r="N95" i="25"/>
  <c r="K130" i="25"/>
  <c r="K157" i="25" s="1"/>
  <c r="O191" i="25" l="1"/>
  <c r="O217" i="25" s="1"/>
  <c r="P217" i="25"/>
  <c r="N191" i="25"/>
  <c r="N217" i="25" s="1"/>
  <c r="P193" i="25"/>
  <c r="H205" i="25"/>
  <c r="N106" i="25"/>
  <c r="N132" i="25" s="1"/>
  <c r="N159" i="25" s="1"/>
  <c r="N185" i="25" s="1"/>
  <c r="N211" i="25" s="1"/>
  <c r="N130" i="25"/>
  <c r="N157" i="25" s="1"/>
  <c r="N183" i="25" s="1"/>
  <c r="N209" i="25" s="1"/>
  <c r="H235" i="25" l="1"/>
  <c r="H236" i="25" s="1"/>
  <c r="P221" i="25"/>
  <c r="O221" i="25" s="1"/>
  <c r="B236" i="25"/>
  <c r="P225" i="25" s="1"/>
  <c r="O225" i="25" s="1"/>
  <c r="O193" i="25"/>
  <c r="O219" i="25" s="1"/>
  <c r="P219" i="25"/>
  <c r="K132" i="25"/>
  <c r="N121" i="25"/>
  <c r="P223" i="25" l="1"/>
  <c r="O223" i="25" s="1"/>
  <c r="K159" i="25"/>
  <c r="K161" i="25"/>
  <c r="N134" i="25" l="1"/>
  <c r="N161" i="25" s="1"/>
  <c r="N187" i="25" s="1"/>
  <c r="N213" i="25" s="1"/>
  <c r="T26" i="22"/>
  <c r="Q26" i="22"/>
  <c r="N26" i="22"/>
  <c r="T27" i="22"/>
  <c r="N27" i="22"/>
  <c r="AT21" i="22"/>
  <c r="AS20" i="22"/>
  <c r="AS19" i="22"/>
  <c r="AS18" i="22"/>
  <c r="AS17" i="22"/>
  <c r="AT14" i="22"/>
  <c r="AS13" i="22"/>
  <c r="AS12" i="22"/>
  <c r="AS11" i="22"/>
  <c r="AS10" i="22"/>
  <c r="AS9" i="22"/>
  <c r="AS8" i="22"/>
  <c r="C50" i="22"/>
  <c r="B50" i="22"/>
  <c r="B58" i="22" s="1"/>
  <c r="C49" i="22"/>
  <c r="B49" i="22"/>
  <c r="B57" i="22" s="1"/>
  <c r="C48" i="22"/>
  <c r="C47" i="22"/>
  <c r="C45" i="22"/>
  <c r="B45" i="22"/>
  <c r="C44" i="22"/>
  <c r="B44" i="22"/>
  <c r="K37" i="22"/>
  <c r="K36" i="22"/>
  <c r="K35" i="22"/>
  <c r="F34" i="22"/>
  <c r="Q31" i="22"/>
  <c r="N31" i="22"/>
  <c r="J31" i="22"/>
  <c r="H31" i="22"/>
  <c r="L55" i="22" s="1"/>
  <c r="I55" i="22" s="1"/>
  <c r="K30" i="22"/>
  <c r="D30" i="22"/>
  <c r="S33" i="22" s="1"/>
  <c r="F29" i="22"/>
  <c r="J26" i="22"/>
  <c r="H26" i="22"/>
  <c r="L48" i="22" s="1"/>
  <c r="I48" i="22" s="1"/>
  <c r="K25" i="22"/>
  <c r="D25" i="22"/>
  <c r="S28" i="22" s="1"/>
  <c r="C25" i="22"/>
  <c r="P28" i="22" s="1"/>
  <c r="F24" i="22"/>
  <c r="T22" i="22"/>
  <c r="Q22" i="22"/>
  <c r="N22" i="22"/>
  <c r="K22" i="22" s="1"/>
  <c r="E43" i="22" s="1"/>
  <c r="H43" i="22" s="1"/>
  <c r="J22" i="22"/>
  <c r="K21" i="22"/>
  <c r="D21" i="22"/>
  <c r="S23" i="22" s="1"/>
  <c r="C21" i="22"/>
  <c r="P23" i="22" s="1"/>
  <c r="F20" i="22"/>
  <c r="V20" i="22" s="1"/>
  <c r="AT19" i="22"/>
  <c r="AR19" i="22"/>
  <c r="B19" i="22"/>
  <c r="AT18" i="22"/>
  <c r="K18" i="22"/>
  <c r="D18" i="22"/>
  <c r="AH19" i="22" s="1"/>
  <c r="AT17" i="22"/>
  <c r="AR17" i="22"/>
  <c r="AI17" i="22"/>
  <c r="AF17" i="22"/>
  <c r="AC17" i="22"/>
  <c r="Z17" i="22"/>
  <c r="W17" i="22"/>
  <c r="T17" i="22"/>
  <c r="Q17" i="22"/>
  <c r="N17" i="22"/>
  <c r="K17" i="22" s="1"/>
  <c r="E41" i="22" s="1"/>
  <c r="J17" i="22"/>
  <c r="H17" i="22"/>
  <c r="AL16" i="22"/>
  <c r="AJ16" i="22"/>
  <c r="AJ17" i="22" s="1"/>
  <c r="AG16" i="22"/>
  <c r="AG17" i="22" s="1"/>
  <c r="AD16" i="22"/>
  <c r="AD17" i="22" s="1"/>
  <c r="AA16" i="22"/>
  <c r="AA17" i="22" s="1"/>
  <c r="X16" i="22"/>
  <c r="X17" i="22" s="1"/>
  <c r="D16" i="22"/>
  <c r="M19" i="22" s="1"/>
  <c r="J19" i="22" s="1"/>
  <c r="J13" i="22"/>
  <c r="AT12" i="22"/>
  <c r="AR12" i="22"/>
  <c r="J12" i="22"/>
  <c r="AT11" i="22"/>
  <c r="J11" i="22"/>
  <c r="AT10" i="22"/>
  <c r="AR10" i="22"/>
  <c r="AT9" i="22"/>
  <c r="AR9" i="22"/>
  <c r="J9" i="22"/>
  <c r="AT8" i="22"/>
  <c r="AR8" i="22"/>
  <c r="T8" i="22"/>
  <c r="N8" i="22"/>
  <c r="K8" i="22"/>
  <c r="J8" i="22"/>
  <c r="J7" i="22"/>
  <c r="R6" i="22"/>
  <c r="K6" i="22"/>
  <c r="H6" i="22"/>
  <c r="H22" i="22" s="1"/>
  <c r="L44" i="22" s="1"/>
  <c r="I44" i="22" s="1"/>
  <c r="R5" i="22"/>
  <c r="L5" i="22"/>
  <c r="L6" i="22" s="1"/>
  <c r="J5" i="22"/>
  <c r="U4" i="22"/>
  <c r="R4" i="22"/>
  <c r="O4" i="22"/>
  <c r="L4" i="22"/>
  <c r="N148" i="25" l="1"/>
  <c r="N163" i="25"/>
  <c r="N189" i="25" s="1"/>
  <c r="N176" i="25"/>
  <c r="S20" i="22"/>
  <c r="U20" i="22" s="1"/>
  <c r="P16" i="22"/>
  <c r="R16" i="22" s="1"/>
  <c r="R17" i="22" s="1"/>
  <c r="R18" i="22" s="1"/>
  <c r="M28" i="22"/>
  <c r="M33" i="22"/>
  <c r="S16" i="22"/>
  <c r="U16" i="22" s="1"/>
  <c r="U17" i="22" s="1"/>
  <c r="J16" i="22"/>
  <c r="L16" i="22" s="1"/>
  <c r="L17" i="22" s="1"/>
  <c r="M23" i="22"/>
  <c r="J23" i="22" s="1"/>
  <c r="D44" i="22" s="1"/>
  <c r="O44" i="22" s="1"/>
  <c r="Y19" i="22"/>
  <c r="M16" i="22"/>
  <c r="O16" i="22" s="1"/>
  <c r="O17" i="22" s="1"/>
  <c r="L7" i="22"/>
  <c r="L8" i="22" s="1"/>
  <c r="L9" i="22" s="1"/>
  <c r="N32" i="22"/>
  <c r="O5" i="22"/>
  <c r="O6" i="22" s="1"/>
  <c r="R7" i="22"/>
  <c r="R8" i="22" s="1"/>
  <c r="R9" i="22" s="1"/>
  <c r="R10" i="22" s="1"/>
  <c r="AB19" i="22"/>
  <c r="AE19" i="22"/>
  <c r="K26" i="22"/>
  <c r="E48" i="22" s="1"/>
  <c r="H48" i="22" s="1"/>
  <c r="U5" i="22"/>
  <c r="U6" i="22" s="1"/>
  <c r="V19" i="22"/>
  <c r="N205" i="25" l="1"/>
  <c r="N215" i="25"/>
  <c r="N236" i="25" s="1"/>
  <c r="P20" i="22"/>
  <c r="R20" i="22" s="1"/>
  <c r="R11" i="22"/>
  <c r="R12" i="22" s="1"/>
  <c r="R13" i="22" s="1"/>
  <c r="O7" i="22"/>
  <c r="O8" i="22" s="1"/>
  <c r="O9" i="22" s="1"/>
  <c r="O10" i="22" s="1"/>
  <c r="J28" i="22"/>
  <c r="D49" i="22" s="1"/>
  <c r="S49" i="22" s="1"/>
  <c r="U7" i="22"/>
  <c r="U8" i="22" s="1"/>
  <c r="O11" i="22" l="1"/>
  <c r="O12" i="22" s="1"/>
  <c r="O13" i="22" s="1"/>
  <c r="AR11" i="22"/>
  <c r="U9" i="22"/>
  <c r="T10" i="22" l="1"/>
  <c r="U10" i="22" s="1"/>
  <c r="U11" i="22" l="1"/>
  <c r="U12" i="22" s="1"/>
  <c r="U13" i="22" s="1"/>
  <c r="T32" i="22"/>
  <c r="K32" i="22" s="1"/>
  <c r="K27" i="22"/>
  <c r="K10" i="22"/>
  <c r="L10" i="22" s="1"/>
  <c r="L11" i="22" s="1"/>
  <c r="L12" i="22" s="1"/>
  <c r="L13" i="22" s="1"/>
  <c r="T31" i="22"/>
  <c r="AR18" i="22"/>
  <c r="K31" i="22" l="1"/>
  <c r="E56" i="22" s="1"/>
  <c r="H56" i="22" s="1"/>
  <c r="K39" i="3"/>
  <c r="K38" i="3"/>
  <c r="J38" i="3"/>
  <c r="K37" i="3"/>
  <c r="J37" i="3"/>
  <c r="K36" i="3"/>
  <c r="J36" i="3"/>
  <c r="K27" i="3"/>
  <c r="K26" i="3"/>
  <c r="J26" i="3"/>
  <c r="K25" i="3"/>
  <c r="J25" i="3"/>
  <c r="K15" i="3"/>
  <c r="K14" i="3"/>
  <c r="J14" i="3"/>
  <c r="K4" i="3"/>
  <c r="J4" i="3"/>
  <c r="K3" i="3"/>
  <c r="J3" i="3"/>
  <c r="C30" i="22"/>
  <c r="P33" i="22" s="1"/>
  <c r="J33" i="22" s="1"/>
  <c r="D57" i="22" s="1"/>
  <c r="O57" i="22" s="1"/>
  <c r="J39" i="3" l="1"/>
  <c r="K28" i="3"/>
  <c r="K16" i="3"/>
  <c r="J27" i="3"/>
  <c r="J28" i="3" l="1"/>
  <c r="D35" i="22"/>
  <c r="K40" i="3"/>
  <c r="C35" i="22"/>
  <c r="J40" i="3"/>
  <c r="J20" i="3"/>
  <c r="J19" i="3"/>
  <c r="J18" i="3"/>
  <c r="J17" i="3"/>
  <c r="J16" i="3"/>
  <c r="K5" i="3"/>
  <c r="K6" i="3"/>
  <c r="K7" i="3"/>
  <c r="K8" i="3"/>
  <c r="K9" i="3"/>
  <c r="J9" i="3"/>
  <c r="J8" i="3"/>
  <c r="J7" i="3"/>
  <c r="J6" i="3"/>
  <c r="J5" i="3"/>
  <c r="J15" i="3"/>
  <c r="C36" i="22" l="1"/>
  <c r="J41" i="3"/>
  <c r="D36" i="22"/>
  <c r="K41" i="3"/>
  <c r="J29" i="3"/>
  <c r="K18" i="3" l="1"/>
  <c r="K17" i="3"/>
  <c r="J30" i="3"/>
  <c r="K30" i="3"/>
  <c r="K29" i="3"/>
  <c r="D37" i="22"/>
  <c r="K42" i="3"/>
  <c r="C37" i="22"/>
  <c r="J42" i="3"/>
  <c r="F78" i="3"/>
  <c r="F77" i="3"/>
  <c r="F76" i="3"/>
  <c r="F75" i="3"/>
  <c r="F74" i="3"/>
  <c r="F73" i="3"/>
  <c r="F72" i="3"/>
  <c r="D72" i="3"/>
  <c r="F66" i="3"/>
  <c r="F65" i="3"/>
  <c r="F64" i="3"/>
  <c r="F63" i="3"/>
  <c r="F62" i="3"/>
  <c r="F61" i="3"/>
  <c r="F60" i="3"/>
  <c r="D60" i="3"/>
  <c r="F54" i="3"/>
  <c r="F53" i="3"/>
  <c r="F52" i="3"/>
  <c r="F51" i="3"/>
  <c r="F50" i="3"/>
  <c r="F49" i="3"/>
  <c r="F48" i="3"/>
  <c r="D48" i="3"/>
  <c r="F16" i="3"/>
  <c r="F4" i="3"/>
  <c r="K19" i="3" l="1"/>
  <c r="J31" i="3"/>
  <c r="K31" i="3"/>
  <c r="D78" i="3"/>
  <c r="D73" i="3"/>
  <c r="D77" i="3"/>
  <c r="D75" i="3"/>
  <c r="D74" i="3"/>
  <c r="D76" i="3"/>
  <c r="K20" i="3" l="1"/>
  <c r="D79" i="3"/>
  <c r="D63" i="3"/>
  <c r="D49" i="3"/>
  <c r="D51" i="3"/>
  <c r="D52" i="3"/>
  <c r="D54" i="3"/>
  <c r="D61" i="3"/>
  <c r="D62" i="3"/>
  <c r="D64" i="3"/>
  <c r="D66" i="3"/>
  <c r="D65" i="3"/>
  <c r="D50" i="3"/>
  <c r="D53" i="3"/>
  <c r="D55" i="3" l="1"/>
  <c r="D67" i="3"/>
  <c r="F42" i="3" l="1"/>
  <c r="M37" i="22" s="1"/>
  <c r="F41" i="3"/>
  <c r="M36" i="22" s="1"/>
  <c r="F40" i="3"/>
  <c r="M35" i="22" s="1"/>
  <c r="F39" i="3"/>
  <c r="M30" i="22" s="1"/>
  <c r="F38" i="3"/>
  <c r="F37" i="3"/>
  <c r="F36" i="3"/>
  <c r="D36" i="3"/>
  <c r="F31" i="3"/>
  <c r="F30" i="3"/>
  <c r="F29" i="3"/>
  <c r="F28" i="3"/>
  <c r="F27" i="3"/>
  <c r="M25" i="22" s="1"/>
  <c r="F26" i="3"/>
  <c r="F25" i="3"/>
  <c r="D25" i="3"/>
  <c r="F20" i="3"/>
  <c r="F19" i="3"/>
  <c r="F18" i="3"/>
  <c r="F17" i="3"/>
  <c r="F15" i="3"/>
  <c r="M21" i="22" s="1"/>
  <c r="F14" i="3"/>
  <c r="D14" i="3"/>
  <c r="D3" i="3"/>
  <c r="F5" i="3"/>
  <c r="F6" i="3"/>
  <c r="F7" i="3"/>
  <c r="F8" i="3"/>
  <c r="F9" i="3"/>
  <c r="F3" i="3"/>
  <c r="P37" i="22"/>
  <c r="P36" i="22"/>
  <c r="S37" i="22"/>
  <c r="S36" i="22"/>
  <c r="S35" i="22"/>
  <c r="S30" i="22"/>
  <c r="S25" i="22"/>
  <c r="S21" i="22"/>
  <c r="U21" i="22" s="1"/>
  <c r="U22" i="22" s="1"/>
  <c r="U23" i="22" s="1"/>
  <c r="S24" i="22" s="1"/>
  <c r="U24" i="22" s="1"/>
  <c r="P35" i="22" l="1"/>
  <c r="J35" i="22" s="1"/>
  <c r="J37" i="22"/>
  <c r="P30" i="22"/>
  <c r="J30" i="22" s="1"/>
  <c r="D55" i="22" s="1"/>
  <c r="J36" i="22"/>
  <c r="U25" i="22"/>
  <c r="U26" i="22" s="1"/>
  <c r="U28" i="22" s="1"/>
  <c r="S29" i="22" s="1"/>
  <c r="U29" i="22" s="1"/>
  <c r="U30" i="22" s="1"/>
  <c r="U31" i="22" s="1"/>
  <c r="U32" i="22" s="1"/>
  <c r="U33" i="22" s="1"/>
  <c r="S34" i="22" s="1"/>
  <c r="U34" i="22" s="1"/>
  <c r="U35" i="22" s="1"/>
  <c r="U36" i="22" s="1"/>
  <c r="U37" i="22" s="1"/>
  <c r="P25" i="22"/>
  <c r="J25" i="22" s="1"/>
  <c r="D47" i="22" s="1"/>
  <c r="P21" i="22"/>
  <c r="R21" i="22" s="1"/>
  <c r="R22" i="22" s="1"/>
  <c r="R23" i="22" s="1"/>
  <c r="M18" i="22"/>
  <c r="D37" i="3"/>
  <c r="D26" i="3"/>
  <c r="D31" i="3"/>
  <c r="D17" i="3"/>
  <c r="D28" i="3"/>
  <c r="D19" i="3"/>
  <c r="D30" i="3"/>
  <c r="D5" i="3"/>
  <c r="D18" i="3"/>
  <c r="D20" i="3"/>
  <c r="D29" i="3"/>
  <c r="D39" i="3"/>
  <c r="D41" i="3"/>
  <c r="D6" i="3"/>
  <c r="D8" i="3"/>
  <c r="D40" i="3"/>
  <c r="D42" i="3"/>
  <c r="D7" i="3"/>
  <c r="D9" i="3"/>
  <c r="D15" i="3"/>
  <c r="D38" i="3" l="1"/>
  <c r="D43" i="3" s="1"/>
  <c r="D27" i="3"/>
  <c r="D32" i="3" s="1"/>
  <c r="D16" i="3"/>
  <c r="D21" i="3" s="1"/>
  <c r="D4" i="3"/>
  <c r="D10" i="3" s="1"/>
  <c r="P24" i="22"/>
  <c r="R24" i="22" s="1"/>
  <c r="R25" i="22" s="1"/>
  <c r="R26" i="22" s="1"/>
  <c r="R28" i="22" s="1"/>
  <c r="J21" i="22"/>
  <c r="D42" i="22" s="1"/>
  <c r="J18" i="22"/>
  <c r="O18" i="22"/>
  <c r="P29" i="22" l="1"/>
  <c r="R29" i="22" s="1"/>
  <c r="R30" i="22" s="1"/>
  <c r="R31" i="22" s="1"/>
  <c r="R32" i="22" s="1"/>
  <c r="R33" i="22" s="1"/>
  <c r="O21" i="22"/>
  <c r="O22" i="22" s="1"/>
  <c r="O23" i="22" s="1"/>
  <c r="O19" i="22"/>
  <c r="D41" i="22"/>
  <c r="L18" i="22"/>
  <c r="L21" i="22" s="1"/>
  <c r="L22" i="22" s="1"/>
  <c r="L23" i="22" s="1"/>
  <c r="P34" i="22" l="1"/>
  <c r="R34" i="22" s="1"/>
  <c r="R35" i="22" s="1"/>
  <c r="R36" i="22" s="1"/>
  <c r="R37" i="22" s="1"/>
  <c r="M20" i="22"/>
  <c r="J20" i="22" s="1"/>
  <c r="M24" i="22"/>
  <c r="J24" i="22" s="1"/>
  <c r="D45" i="22" s="1"/>
  <c r="E46" i="22" s="1"/>
  <c r="F46" i="22" l="1"/>
  <c r="O20" i="22"/>
  <c r="O24" i="22"/>
  <c r="O25" i="22" s="1"/>
  <c r="O26" i="22" s="1"/>
  <c r="O28" i="22" s="1"/>
  <c r="L24" i="22"/>
  <c r="L25" i="22" s="1"/>
  <c r="L26" i="22" s="1"/>
  <c r="L28" i="22" s="1"/>
  <c r="M29" i="22" l="1"/>
  <c r="J29" i="22" s="1"/>
  <c r="D50" i="22" s="1"/>
  <c r="E51" i="22" s="1"/>
  <c r="L29" i="22" l="1"/>
  <c r="L30" i="22" s="1"/>
  <c r="L31" i="22" s="1"/>
  <c r="L32" i="22" s="1"/>
  <c r="L33" i="22" s="1"/>
  <c r="F51" i="22"/>
  <c r="O29" i="22"/>
  <c r="O30" i="22" s="1"/>
  <c r="O31" i="22" s="1"/>
  <c r="O32" i="22" s="1"/>
  <c r="O33" i="22" s="1"/>
  <c r="M34" i="22" l="1"/>
  <c r="J34" i="22" s="1"/>
  <c r="D58" i="22" l="1"/>
  <c r="E59" i="22" s="1"/>
  <c r="F59" i="22" s="1"/>
  <c r="L34" i="22"/>
  <c r="L35" i="22" s="1"/>
  <c r="L36" i="22" s="1"/>
  <c r="L37" i="22" s="1"/>
  <c r="O34" i="22"/>
  <c r="O35" i="22" s="1"/>
  <c r="O36" i="22" s="1"/>
  <c r="O37" i="22" s="1"/>
  <c r="A48" i="26" l="1"/>
  <c r="A49" i="26" s="1"/>
  <c r="A50" i="26" s="1"/>
  <c r="A51" i="26" s="1"/>
  <c r="A52" i="26" s="1"/>
  <c r="A53" i="26" s="1"/>
  <c r="A54" i="26" s="1"/>
  <c r="A55" i="26" s="1"/>
  <c r="A56" i="26" s="1"/>
  <c r="A57" i="26" l="1"/>
  <c r="A58" i="26" s="1"/>
  <c r="A59" i="26" s="1"/>
  <c r="A60" i="26" s="1"/>
  <c r="A61" i="26" s="1"/>
</calcChain>
</file>

<file path=xl/comments1.xml><?xml version="1.0" encoding="utf-8"?>
<comments xmlns="http://schemas.openxmlformats.org/spreadsheetml/2006/main">
  <authors>
    <author>Sedlák Ferdinand</author>
  </authors>
  <commentList>
    <comment ref="S3" authorId="0">
      <text>
        <r>
          <rPr>
            <b/>
            <sz val="8"/>
            <color indexed="81"/>
            <rFont val="Tahoma"/>
            <charset val="1"/>
          </rPr>
          <t>kurzA</t>
        </r>
      </text>
    </comment>
    <comment ref="S4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27" authorId="0">
      <text>
        <r>
          <rPr>
            <b/>
            <sz val="8"/>
            <color indexed="81"/>
            <rFont val="Tahoma"/>
            <charset val="1"/>
          </rPr>
          <t>kurzA</t>
        </r>
      </text>
    </comment>
    <comment ref="S28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52" authorId="0">
      <text>
        <r>
          <rPr>
            <b/>
            <sz val="8"/>
            <color indexed="81"/>
            <rFont val="Tahoma"/>
            <charset val="1"/>
          </rPr>
          <t>kurzA</t>
        </r>
      </text>
    </comment>
    <comment ref="S53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75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77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79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00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02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04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06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34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63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91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193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221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223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  <comment ref="S225" authorId="0">
      <text>
        <r>
          <rPr>
            <b/>
            <sz val="8"/>
            <color indexed="81"/>
            <rFont val="Tahoma"/>
            <charset val="1"/>
          </rPr>
          <t>kurzB</t>
        </r>
      </text>
    </comment>
  </commentList>
</comments>
</file>

<file path=xl/comments2.xml><?xml version="1.0" encoding="utf-8"?>
<comments xmlns="http://schemas.openxmlformats.org/spreadsheetml/2006/main">
  <authors>
    <author>Sedlák Ferdinand</author>
  </authors>
  <commentList>
    <comment ref="F17" authorId="0">
      <text>
        <r>
          <rPr>
            <b/>
            <sz val="8"/>
            <color indexed="81"/>
            <rFont val="Tahoma"/>
            <charset val="1"/>
          </rPr>
          <t>aby vznikol priestor pre POH a KRN je uhrada menej ako predpis</t>
        </r>
      </text>
    </comment>
    <comment ref="E18" authorId="0">
      <text>
        <r>
          <rPr>
            <sz val="8"/>
            <color indexed="81"/>
            <rFont val="Tahoma"/>
            <charset val="1"/>
          </rPr>
          <t>NEDOPLATOK</t>
        </r>
      </text>
    </comment>
    <comment ref="E28" authorId="0">
      <text>
        <r>
          <rPr>
            <sz val="8"/>
            <color indexed="81"/>
            <rFont val="Tahoma"/>
            <charset val="1"/>
          </rPr>
          <t>NEDOPLATOK</t>
        </r>
      </text>
    </comment>
    <comment ref="E38" authorId="0">
      <text>
        <r>
          <rPr>
            <sz val="8"/>
            <color indexed="81"/>
            <rFont val="Tahoma"/>
            <charset val="1"/>
          </rPr>
          <t>PREPLATOK</t>
        </r>
      </text>
    </comment>
    <comment ref="E48" authorId="0">
      <text>
        <r>
          <rPr>
            <sz val="8"/>
            <color indexed="81"/>
            <rFont val="Tahoma"/>
            <charset val="1"/>
          </rPr>
          <t>NEDOPLATOK</t>
        </r>
      </text>
    </comment>
    <comment ref="D57" authorId="0">
      <text>
        <r>
          <rPr>
            <b/>
            <sz val="8"/>
            <color indexed="81"/>
            <rFont val="Tahoma"/>
            <charset val="1"/>
          </rPr>
          <t>nie je záznam úhrada</t>
        </r>
      </text>
    </comment>
    <comment ref="E58" authorId="0">
      <text>
        <r>
          <rPr>
            <sz val="8"/>
            <color indexed="81"/>
            <rFont val="Tahoma"/>
            <charset val="1"/>
          </rPr>
          <t>NEDOPLATOK</t>
        </r>
      </text>
    </comment>
    <comment ref="D60" authorId="0">
      <text>
        <r>
          <rPr>
            <b/>
            <sz val="8"/>
            <color indexed="81"/>
            <rFont val="Tahoma"/>
            <charset val="1"/>
          </rPr>
          <t>KRR = 0, záznam nie je</t>
        </r>
      </text>
    </comment>
  </commentList>
</comments>
</file>

<file path=xl/sharedStrings.xml><?xml version="1.0" encoding="utf-8"?>
<sst xmlns="http://schemas.openxmlformats.org/spreadsheetml/2006/main" count="436" uniqueCount="141">
  <si>
    <t>Splátka</t>
  </si>
  <si>
    <t>utorok, 1. júl 2014</t>
  </si>
  <si>
    <t>Zostatok MP1</t>
  </si>
  <si>
    <t>Úhrada MP2</t>
  </si>
  <si>
    <t>Úhrada pokuty</t>
  </si>
  <si>
    <t>Úhrada poistné+poplatky+akontácie</t>
  </si>
  <si>
    <t>splátka?</t>
  </si>
  <si>
    <t>Započítaná úhrada</t>
  </si>
  <si>
    <t>úhrada</t>
  </si>
  <si>
    <t>nedeľa, 1. jún 2014</t>
  </si>
  <si>
    <t>štvrtok, 1. máj 2014</t>
  </si>
  <si>
    <t>Úhrada MP spolu</t>
  </si>
  <si>
    <t>Zostatok istiny</t>
  </si>
  <si>
    <t>Upravil</t>
  </si>
  <si>
    <t>Zostatok úroku</t>
  </si>
  <si>
    <t>Úhrada MP1</t>
  </si>
  <si>
    <t>Zostatok MP3</t>
  </si>
  <si>
    <t>Úhrada úroku</t>
  </si>
  <si>
    <t>MP1</t>
  </si>
  <si>
    <t>Dátum valuty</t>
  </si>
  <si>
    <t>Zostatok MP2</t>
  </si>
  <si>
    <t>utorok, 1. apríl 2014</t>
  </si>
  <si>
    <t>MP3</t>
  </si>
  <si>
    <t>MP2</t>
  </si>
  <si>
    <t>Úhrada splátky</t>
  </si>
  <si>
    <t>Preplatok</t>
  </si>
  <si>
    <t>MP spolu</t>
  </si>
  <si>
    <t>Zostatok MP spolu</t>
  </si>
  <si>
    <t>Zostatok poistné+poplatky+akontácie</t>
  </si>
  <si>
    <t>Priradené k zmluve [zhoda Variabilného symbolu a sumy akontácie] (OK)</t>
  </si>
  <si>
    <t>Dátum započítania</t>
  </si>
  <si>
    <t>Úrok</t>
  </si>
  <si>
    <t>Evidencia úhrad</t>
  </si>
  <si>
    <t>Pokuta</t>
  </si>
  <si>
    <t>Úhrada istiny</t>
  </si>
  <si>
    <t>Poistné+poplatky+akontácia</t>
  </si>
  <si>
    <t>Zostatok pokuty</t>
  </si>
  <si>
    <t>Stav preplatku</t>
  </si>
  <si>
    <t>Zostatok splátky</t>
  </si>
  <si>
    <t>Stav úhrady</t>
  </si>
  <si>
    <t>akontácia</t>
  </si>
  <si>
    <t>Dátum</t>
  </si>
  <si>
    <t>splátka</t>
  </si>
  <si>
    <t>Istina</t>
  </si>
  <si>
    <t>Miroslava Lelková</t>
  </si>
  <si>
    <t>Úhrada MP3</t>
  </si>
  <si>
    <t>Typ popis</t>
  </si>
  <si>
    <t>Obdobie</t>
  </si>
  <si>
    <t>Spolu</t>
  </si>
  <si>
    <t>Typ</t>
  </si>
  <si>
    <t>MÁJ       2014</t>
  </si>
  <si>
    <t>JÚN       2014</t>
  </si>
  <si>
    <t>JÚL       2014</t>
  </si>
  <si>
    <t>Kurz_istina ECB</t>
  </si>
  <si>
    <t>Kurz_ostatne</t>
  </si>
  <si>
    <t>Spolu_EUR</t>
  </si>
  <si>
    <t>Aktuálny dátum 30.04.2014</t>
  </si>
  <si>
    <t>Aktuálny dátum 31.05.2014</t>
  </si>
  <si>
    <t>Aktuálny dátum 30.06.2014</t>
  </si>
  <si>
    <t>Aktuálny dátum 31.07.2014</t>
  </si>
  <si>
    <t>Suma</t>
  </si>
  <si>
    <t>Poistné</t>
  </si>
  <si>
    <t>Poplatok</t>
  </si>
  <si>
    <t>Daňová evidencia</t>
  </si>
  <si>
    <t>Evidencia istiny a úroku</t>
  </si>
  <si>
    <t>Akontácia</t>
  </si>
  <si>
    <t>Poistné_EUR</t>
  </si>
  <si>
    <t>Suma_EUR</t>
  </si>
  <si>
    <t>Aktuálny dátum 31.08.2014</t>
  </si>
  <si>
    <t>Aktuálny dátum 30.09.2014</t>
  </si>
  <si>
    <t>Budúca krátkodobá istina_CZK</t>
  </si>
  <si>
    <t>Aktuálny dátum 31.10.2014</t>
  </si>
  <si>
    <t>AUGUST 2014</t>
  </si>
  <si>
    <t>SEPTEMBER 2014</t>
  </si>
  <si>
    <t>OKTÓBER 2014</t>
  </si>
  <si>
    <t>KR_nerealizovaný</t>
  </si>
  <si>
    <t>MD</t>
  </si>
  <si>
    <t>D</t>
  </si>
  <si>
    <t>Kurz_istina</t>
  </si>
  <si>
    <t>kurz_uhrada</t>
  </si>
  <si>
    <t>kurz_koniec mesiaca</t>
  </si>
  <si>
    <t>KR realizovaný</t>
  </si>
  <si>
    <t>kurz_predpis istiny</t>
  </si>
  <si>
    <t>kurz_predpisu úroku a DKM</t>
  </si>
  <si>
    <t xml:space="preserve">Zostatok </t>
  </si>
  <si>
    <t>Kontrola účtovania:</t>
  </si>
  <si>
    <t>úhrada_bud</t>
  </si>
  <si>
    <t>Úhrada z 22.6.2014 nám uhradí tieto predpisy:</t>
  </si>
  <si>
    <t>na 311</t>
  </si>
  <si>
    <t>na 324</t>
  </si>
  <si>
    <t>Úhrada z 23.7.2014 nám uhradí tieto predpisy:</t>
  </si>
  <si>
    <t>Pri výpočtoch kurzových rozdielov je potrebné vychádzať</t>
  </si>
  <si>
    <t>zo zaokrúhlených hodnôt na 2 des. miesta!</t>
  </si>
  <si>
    <t>v tomto riadku úhrady, ktoré sú na 324 k 30.06.2014, nevchádza do zostatku na 311 k 30.6.2014</t>
  </si>
  <si>
    <t>v tomto riadku úhrady, ktoré na začiatku 1.7.2014 preúčtujem naspäť z 324 na 311, vchádzajú do zostatku na 311 k 31.07.2014</t>
  </si>
  <si>
    <t>Pomocné prepočty:</t>
  </si>
  <si>
    <t>v tomto riadku len úhrady, ktoré mi dorovnajú 311 na 0</t>
  </si>
  <si>
    <t>Predpisy</t>
  </si>
  <si>
    <t>Úhrady</t>
  </si>
  <si>
    <t>poistné</t>
  </si>
  <si>
    <t>úrok</t>
  </si>
  <si>
    <t>istina</t>
  </si>
  <si>
    <t>Dátum predpisu</t>
  </si>
  <si>
    <t>Pôžička suma1</t>
  </si>
  <si>
    <t>Úrok do konca mesiaca suma4</t>
  </si>
  <si>
    <t>Zostatok istiny_EUR e_sumaA</t>
  </si>
  <si>
    <t>Budúca istina_EUR e_sumaB</t>
  </si>
  <si>
    <t>Úrok suma2</t>
  </si>
  <si>
    <t>Kurz k datumu</t>
  </si>
  <si>
    <t>Budúca krátkodobá istina e_sumaK</t>
  </si>
  <si>
    <t>Pôžička_EUR e_suma1</t>
  </si>
  <si>
    <t>Úrok_EUR e_suma2</t>
  </si>
  <si>
    <t>Úrok do konca mesiaca EUR e_suma4</t>
  </si>
  <si>
    <t>Budúca istina_CZK lea_suma.suma3</t>
  </si>
  <si>
    <t>Zostatok istiny lea_suma.suma3</t>
  </si>
  <si>
    <t>KR_istina lea_suma_kr.kr</t>
  </si>
  <si>
    <t>POISTENIE</t>
  </si>
  <si>
    <t>poistenie_EUR</t>
  </si>
  <si>
    <t>kr_id</t>
  </si>
  <si>
    <t>zmluva_id</t>
  </si>
  <si>
    <t>datumK</t>
  </si>
  <si>
    <t>typ</t>
  </si>
  <si>
    <t>e_suma</t>
  </si>
  <si>
    <t>pkl_id</t>
  </si>
  <si>
    <t>kurz</t>
  </si>
  <si>
    <t>p_id</t>
  </si>
  <si>
    <t>URO</t>
  </si>
  <si>
    <t>IST</t>
  </si>
  <si>
    <t>POI</t>
  </si>
  <si>
    <t>DKM</t>
  </si>
  <si>
    <t>UHR</t>
  </si>
  <si>
    <t>KRR</t>
  </si>
  <si>
    <t>KRN</t>
  </si>
  <si>
    <t>SPL</t>
  </si>
  <si>
    <t>POH</t>
  </si>
  <si>
    <t xml:space="preserve"> </t>
  </si>
  <si>
    <t>id</t>
  </si>
  <si>
    <t>z_suma</t>
  </si>
  <si>
    <t>KR nerealizovaný</t>
  </si>
  <si>
    <t>KRU</t>
  </si>
  <si>
    <t>Kurzový rozdiel účtovaný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</si>
</sst>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\.m\.yyyy"/>
    <numFmt numFmtId="165" formatCode="#,##0.00\ [$Kč];\-#,##0.00\ [$Kč]"/>
    <numFmt numFmtId="166" formatCode="d\.m\.yyyy\ h:mm"/>
    <numFmt numFmtId="167" formatCode="#,##0.00_ ;\-#,##0.00\ "/>
    <numFmt numFmtId="168" formatCode="#,##0.000"/>
    <numFmt numFmtId="169" formatCode="#,##0.00\ [$Kč-405];\-#,##0.00\ [$Kč-405]"/>
    <numFmt numFmtId="170" formatCode="#,##0.000\ [$Kč-405];\-#,##0.000\ [$Kč-405]"/>
    <numFmt numFmtId="171" formatCode="0.00_ ;\-0.00\ "/>
    <numFmt numFmtId="172" formatCode="0.000_ ;\-0.0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000000"/>
      <name val="Microsoft Sans Serif"/>
      <family val="2"/>
    </font>
    <font>
      <sz val="8"/>
      <name val="Microsoft Sans Serif"/>
      <family val="2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8"/>
      <color theme="5" tint="-0.249977111117893"/>
      <name val="Microsoft Sans Serif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5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8"/>
      <color theme="8" tint="-0.249977111117893"/>
      <name val="Microsoft Sans Serif"/>
      <family val="2"/>
      <charset val="238"/>
    </font>
    <font>
      <b/>
      <sz val="8"/>
      <name val="Microsoft Sans Serif"/>
      <family val="2"/>
      <charset val="238"/>
    </font>
    <font>
      <b/>
      <sz val="8"/>
      <color theme="3"/>
      <name val="Microsoft Sans Serif"/>
      <family val="2"/>
      <charset val="238"/>
    </font>
    <font>
      <b/>
      <sz val="8"/>
      <color theme="3" tint="-0.249977111117893"/>
      <name val="Microsoft Sans Serif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i/>
      <sz val="8"/>
      <color theme="0" tint="-0.499984740745262"/>
      <name val="Microsoft Sans Serif"/>
      <family val="2"/>
    </font>
    <font>
      <b/>
      <i/>
      <sz val="8"/>
      <color theme="0" tint="-0.499984740745262"/>
      <name val="Microsoft Sans Serif"/>
      <family val="2"/>
      <charset val="238"/>
    </font>
    <font>
      <i/>
      <sz val="11"/>
      <color theme="0" tint="-0.499984740745262"/>
      <name val="Calibri"/>
      <family val="2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8"/>
      <color indexed="81"/>
      <name val="Tahoma"/>
      <charset val="1"/>
    </font>
    <font>
      <sz val="9"/>
      <color rgb="FF000000"/>
      <name val="Arial CE"/>
      <charset val="238"/>
    </font>
    <font>
      <sz val="8"/>
      <color indexed="81"/>
      <name val="Tahoma"/>
      <charset val="1"/>
    </font>
    <font>
      <sz val="11"/>
      <color rgb="FF00206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C0FFFF"/>
      </patternFill>
    </fill>
    <fill>
      <patternFill patternType="solid">
        <fgColor rgb="FFC0FFC0"/>
      </patternFill>
    </fill>
    <fill>
      <patternFill patternType="solid">
        <fgColor rgb="FFFFFFC0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/>
      <bottom style="double">
        <color indexed="64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rgb="FFC0C0C0"/>
      </left>
      <right style="medium">
        <color indexed="64"/>
      </right>
      <top style="thin">
        <color rgb="FFC0C0C0"/>
      </top>
      <bottom style="medium">
        <color indexed="64"/>
      </bottom>
      <diagonal/>
    </border>
    <border>
      <left style="medium">
        <color indexed="64"/>
      </left>
      <right style="thin">
        <color rgb="FFC0C0C0"/>
      </right>
      <top style="thin">
        <color rgb="FFC0C0C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D4D0C8"/>
      </left>
      <right style="thin">
        <color rgb="FFD4D0C8"/>
      </right>
      <top style="thin">
        <color rgb="FFD4D0C8"/>
      </top>
      <bottom style="thin">
        <color rgb="FFD4D0C8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2">
    <xf numFmtId="0" fontId="0" fillId="0" borderId="0"/>
    <xf numFmtId="0" fontId="9" fillId="6" borderId="0" applyNumberFormat="0" applyBorder="0" applyAlignment="0" applyProtection="0"/>
  </cellStyleXfs>
  <cellXfs count="303">
    <xf numFmtId="0" fontId="0" fillId="0" borderId="0" xfId="0"/>
    <xf numFmtId="0" fontId="8" fillId="3" borderId="2" xfId="0" applyFont="1" applyFill="1" applyBorder="1" applyAlignment="1">
      <alignment horizontal="left" vertical="top"/>
    </xf>
    <xf numFmtId="0" fontId="8" fillId="3" borderId="3" xfId="0" applyFont="1" applyFill="1" applyBorder="1" applyAlignment="1">
      <alignment horizontal="left" vertical="top"/>
    </xf>
    <xf numFmtId="164" fontId="8" fillId="0" borderId="2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0" fontId="8" fillId="4" borderId="2" xfId="0" applyFont="1" applyFill="1" applyBorder="1" applyAlignment="1">
      <alignment horizontal="left" vertical="top"/>
    </xf>
    <xf numFmtId="0" fontId="8" fillId="5" borderId="2" xfId="0" applyFont="1" applyFill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165" fontId="8" fillId="0" borderId="2" xfId="0" applyNumberFormat="1" applyFont="1" applyBorder="1" applyAlignment="1">
      <alignment horizontal="right" vertical="top"/>
    </xf>
    <xf numFmtId="166" fontId="8" fillId="0" borderId="2" xfId="0" applyNumberFormat="1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164" fontId="8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164" fontId="8" fillId="0" borderId="3" xfId="0" applyNumberFormat="1" applyFont="1" applyBorder="1" applyAlignment="1">
      <alignment horizontal="left" vertical="top"/>
    </xf>
    <xf numFmtId="0" fontId="6" fillId="0" borderId="0" xfId="0" applyFont="1"/>
    <xf numFmtId="0" fontId="10" fillId="0" borderId="0" xfId="0" applyFont="1"/>
    <xf numFmtId="0" fontId="16" fillId="8" borderId="0" xfId="0" applyFont="1" applyFill="1"/>
    <xf numFmtId="0" fontId="10" fillId="0" borderId="0" xfId="0" applyFont="1" applyBorder="1"/>
    <xf numFmtId="0" fontId="6" fillId="0" borderId="0" xfId="0" applyFont="1" applyBorder="1"/>
    <xf numFmtId="0" fontId="10" fillId="0" borderId="9" xfId="0" applyFont="1" applyBorder="1"/>
    <xf numFmtId="0" fontId="8" fillId="0" borderId="3" xfId="0" applyFont="1" applyBorder="1" applyAlignment="1">
      <alignment horizontal="left" vertical="top"/>
    </xf>
    <xf numFmtId="14" fontId="8" fillId="0" borderId="2" xfId="0" applyNumberFormat="1" applyFont="1" applyBorder="1" applyAlignment="1">
      <alignment horizontal="left" vertical="top"/>
    </xf>
    <xf numFmtId="0" fontId="10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165" fontId="8" fillId="0" borderId="4" xfId="0" applyNumberFormat="1" applyFont="1" applyBorder="1" applyAlignment="1">
      <alignment horizontal="right" vertical="top"/>
    </xf>
    <xf numFmtId="0" fontId="7" fillId="2" borderId="0" xfId="0" applyFont="1" applyFill="1" applyBorder="1" applyAlignment="1">
      <alignment horizontal="right" vertical="center"/>
    </xf>
    <xf numFmtId="0" fontId="12" fillId="7" borderId="0" xfId="0" applyFont="1" applyFill="1" applyBorder="1" applyAlignment="1">
      <alignment horizontal="right" vertical="center"/>
    </xf>
    <xf numFmtId="14" fontId="8" fillId="0" borderId="0" xfId="0" applyNumberFormat="1" applyFont="1" applyBorder="1" applyAlignment="1">
      <alignment horizontal="left" vertical="top"/>
    </xf>
    <xf numFmtId="165" fontId="8" fillId="0" borderId="0" xfId="0" applyNumberFormat="1" applyFont="1" applyBorder="1" applyAlignment="1">
      <alignment horizontal="right" vertical="top"/>
    </xf>
    <xf numFmtId="167" fontId="12" fillId="7" borderId="0" xfId="0" applyNumberFormat="1" applyFont="1" applyFill="1" applyBorder="1" applyAlignment="1">
      <alignment horizontal="right" vertical="top"/>
    </xf>
    <xf numFmtId="0" fontId="8" fillId="0" borderId="9" xfId="0" applyFont="1" applyBorder="1" applyAlignment="1">
      <alignment horizontal="left" vertical="top"/>
    </xf>
    <xf numFmtId="14" fontId="8" fillId="0" borderId="9" xfId="0" applyNumberFormat="1" applyFont="1" applyBorder="1" applyAlignment="1">
      <alignment horizontal="left" vertical="top"/>
    </xf>
    <xf numFmtId="165" fontId="8" fillId="0" borderId="9" xfId="0" applyNumberFormat="1" applyFont="1" applyBorder="1" applyAlignment="1">
      <alignment horizontal="right" vertical="top"/>
    </xf>
    <xf numFmtId="167" fontId="12" fillId="7" borderId="9" xfId="0" applyNumberFormat="1" applyFont="1" applyFill="1" applyBorder="1" applyAlignment="1">
      <alignment horizontal="right" vertical="top"/>
    </xf>
    <xf numFmtId="164" fontId="8" fillId="0" borderId="0" xfId="0" applyNumberFormat="1" applyFont="1" applyBorder="1" applyAlignment="1">
      <alignment horizontal="left" vertical="top"/>
    </xf>
    <xf numFmtId="0" fontId="0" fillId="0" borderId="0" xfId="0" applyBorder="1"/>
    <xf numFmtId="164" fontId="8" fillId="0" borderId="9" xfId="0" applyNumberFormat="1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164" fontId="8" fillId="0" borderId="10" xfId="0" applyNumberFormat="1" applyFont="1" applyBorder="1" applyAlignment="1">
      <alignment horizontal="left" vertical="top"/>
    </xf>
    <xf numFmtId="165" fontId="8" fillId="0" borderId="10" xfId="0" applyNumberFormat="1" applyFont="1" applyBorder="1" applyAlignment="1">
      <alignment horizontal="right" vertical="top"/>
    </xf>
    <xf numFmtId="0" fontId="19" fillId="7" borderId="1" xfId="0" applyFont="1" applyFill="1" applyBorder="1" applyAlignment="1">
      <alignment horizontal="left" vertical="center" wrapText="1"/>
    </xf>
    <xf numFmtId="168" fontId="19" fillId="7" borderId="2" xfId="0" applyNumberFormat="1" applyFont="1" applyFill="1" applyBorder="1" applyAlignment="1">
      <alignment horizontal="left" vertical="top"/>
    </xf>
    <xf numFmtId="0" fontId="18" fillId="9" borderId="2" xfId="0" applyFont="1" applyFill="1" applyBorder="1" applyAlignment="1">
      <alignment horizontal="left" vertical="top" wrapText="1"/>
    </xf>
    <xf numFmtId="14" fontId="18" fillId="9" borderId="2" xfId="0" applyNumberFormat="1" applyFont="1" applyFill="1" applyBorder="1" applyAlignment="1">
      <alignment horizontal="left" vertical="top"/>
    </xf>
    <xf numFmtId="168" fontId="19" fillId="9" borderId="2" xfId="0" applyNumberFormat="1" applyFont="1" applyFill="1" applyBorder="1" applyAlignment="1">
      <alignment horizontal="left" vertical="top"/>
    </xf>
    <xf numFmtId="14" fontId="8" fillId="9" borderId="2" xfId="0" applyNumberFormat="1" applyFont="1" applyFill="1" applyBorder="1" applyAlignment="1">
      <alignment horizontal="left" vertical="top"/>
    </xf>
    <xf numFmtId="0" fontId="8" fillId="9" borderId="2" xfId="0" applyFont="1" applyFill="1" applyBorder="1" applyAlignment="1">
      <alignment horizontal="left" vertical="top"/>
    </xf>
    <xf numFmtId="4" fontId="20" fillId="7" borderId="0" xfId="0" applyNumberFormat="1" applyFont="1" applyFill="1" applyBorder="1" applyAlignment="1">
      <alignment horizontal="right" vertical="center" wrapText="1"/>
    </xf>
    <xf numFmtId="4" fontId="20" fillId="7" borderId="9" xfId="0" applyNumberFormat="1" applyFont="1" applyFill="1" applyBorder="1" applyAlignment="1">
      <alignment horizontal="right" vertical="top" wrapText="1"/>
    </xf>
    <xf numFmtId="4" fontId="20" fillId="7" borderId="0" xfId="0" applyNumberFormat="1" applyFont="1" applyFill="1" applyBorder="1" applyAlignment="1">
      <alignment horizontal="right" vertical="top" wrapText="1"/>
    </xf>
    <xf numFmtId="4" fontId="20" fillId="7" borderId="4" xfId="0" applyNumberFormat="1" applyFont="1" applyFill="1" applyBorder="1" applyAlignment="1">
      <alignment horizontal="right" vertical="top" wrapText="1"/>
    </xf>
    <xf numFmtId="4" fontId="20" fillId="7" borderId="10" xfId="0" applyNumberFormat="1" applyFont="1" applyFill="1" applyBorder="1" applyAlignment="1">
      <alignment horizontal="right" vertical="top" wrapText="1"/>
    </xf>
    <xf numFmtId="4" fontId="22" fillId="0" borderId="0" xfId="0" applyNumberFormat="1" applyFont="1" applyAlignment="1">
      <alignment wrapText="1"/>
    </xf>
    <xf numFmtId="4" fontId="23" fillId="7" borderId="2" xfId="1" applyNumberFormat="1" applyFont="1" applyFill="1" applyBorder="1" applyAlignment="1">
      <alignment horizontal="right" vertical="top" wrapText="1"/>
    </xf>
    <xf numFmtId="4" fontId="23" fillId="7" borderId="0" xfId="1" applyNumberFormat="1" applyFont="1" applyFill="1" applyBorder="1" applyAlignment="1">
      <alignment horizontal="right" vertical="top" wrapText="1"/>
    </xf>
    <xf numFmtId="0" fontId="21" fillId="0" borderId="0" xfId="0" applyFont="1" applyBorder="1"/>
    <xf numFmtId="0" fontId="21" fillId="0" borderId="0" xfId="0" applyFont="1"/>
    <xf numFmtId="0" fontId="23" fillId="0" borderId="0" xfId="0" applyFont="1" applyBorder="1"/>
    <xf numFmtId="4" fontId="23" fillId="7" borderId="12" xfId="1" applyNumberFormat="1" applyFont="1" applyFill="1" applyBorder="1" applyAlignment="1">
      <alignment horizontal="right" vertical="top" wrapText="1"/>
    </xf>
    <xf numFmtId="4" fontId="23" fillId="7" borderId="10" xfId="1" applyNumberFormat="1" applyFont="1" applyFill="1" applyBorder="1" applyAlignment="1">
      <alignment horizontal="right" vertical="top" wrapText="1"/>
    </xf>
    <xf numFmtId="0" fontId="8" fillId="0" borderId="11" xfId="0" applyFont="1" applyBorder="1" applyAlignment="1">
      <alignment horizontal="left" vertical="top"/>
    </xf>
    <xf numFmtId="164" fontId="8" fillId="0" borderId="11" xfId="0" applyNumberFormat="1" applyFont="1" applyBorder="1" applyAlignment="1">
      <alignment horizontal="left" vertical="top"/>
    </xf>
    <xf numFmtId="165" fontId="8" fillId="0" borderId="11" xfId="0" applyNumberFormat="1" applyFont="1" applyBorder="1" applyAlignment="1">
      <alignment horizontal="right" vertical="top"/>
    </xf>
    <xf numFmtId="49" fontId="8" fillId="0" borderId="10" xfId="0" applyNumberFormat="1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left" vertical="top"/>
    </xf>
    <xf numFmtId="49" fontId="8" fillId="0" borderId="2" xfId="0" applyNumberFormat="1" applyFont="1" applyBorder="1" applyAlignment="1">
      <alignment horizontal="left" vertical="top"/>
    </xf>
    <xf numFmtId="0" fontId="8" fillId="10" borderId="2" xfId="0" applyFont="1" applyFill="1" applyBorder="1" applyAlignment="1">
      <alignment horizontal="left" vertical="top"/>
    </xf>
    <xf numFmtId="0" fontId="18" fillId="10" borderId="2" xfId="0" applyFont="1" applyFill="1" applyBorder="1" applyAlignment="1">
      <alignment horizontal="left" vertical="top" wrapText="1"/>
    </xf>
    <xf numFmtId="14" fontId="18" fillId="10" borderId="2" xfId="0" applyNumberFormat="1" applyFont="1" applyFill="1" applyBorder="1" applyAlignment="1">
      <alignment horizontal="left" vertical="top"/>
    </xf>
    <xf numFmtId="168" fontId="19" fillId="10" borderId="2" xfId="0" applyNumberFormat="1" applyFont="1" applyFill="1" applyBorder="1" applyAlignment="1">
      <alignment horizontal="left" vertical="top"/>
    </xf>
    <xf numFmtId="14" fontId="8" fillId="10" borderId="2" xfId="0" applyNumberFormat="1" applyFont="1" applyFill="1" applyBorder="1" applyAlignment="1">
      <alignment horizontal="left" vertical="top"/>
    </xf>
    <xf numFmtId="14" fontId="0" fillId="0" borderId="0" xfId="0" applyNumberFormat="1"/>
    <xf numFmtId="0" fontId="25" fillId="0" borderId="0" xfId="0" applyFont="1"/>
    <xf numFmtId="4" fontId="24" fillId="0" borderId="0" xfId="0" applyNumberFormat="1" applyFont="1"/>
    <xf numFmtId="167" fontId="8" fillId="0" borderId="2" xfId="0" applyNumberFormat="1" applyFont="1" applyBorder="1" applyAlignment="1">
      <alignment horizontal="right" vertical="top"/>
    </xf>
    <xf numFmtId="167" fontId="17" fillId="9" borderId="2" xfId="0" applyNumberFormat="1" applyFont="1" applyFill="1" applyBorder="1" applyAlignment="1">
      <alignment horizontal="right" vertical="top"/>
    </xf>
    <xf numFmtId="167" fontId="8" fillId="9" borderId="2" xfId="0" applyNumberFormat="1" applyFont="1" applyFill="1" applyBorder="1" applyAlignment="1">
      <alignment horizontal="right" vertical="top"/>
    </xf>
    <xf numFmtId="167" fontId="17" fillId="10" borderId="2" xfId="0" applyNumberFormat="1" applyFont="1" applyFill="1" applyBorder="1" applyAlignment="1">
      <alignment horizontal="right" vertical="top"/>
    </xf>
    <xf numFmtId="167" fontId="8" fillId="10" borderId="2" xfId="0" applyNumberFormat="1" applyFont="1" applyFill="1" applyBorder="1" applyAlignment="1">
      <alignment horizontal="right" vertical="top"/>
    </xf>
    <xf numFmtId="167" fontId="8" fillId="0" borderId="3" xfId="0" applyNumberFormat="1" applyFont="1" applyBorder="1" applyAlignment="1">
      <alignment horizontal="right" vertical="top"/>
    </xf>
    <xf numFmtId="0" fontId="7" fillId="2" borderId="14" xfId="0" applyFont="1" applyFill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top" wrapText="1"/>
    </xf>
    <xf numFmtId="0" fontId="8" fillId="9" borderId="15" xfId="0" applyFont="1" applyFill="1" applyBorder="1" applyAlignment="1">
      <alignment horizontal="left" vertical="top" wrapText="1"/>
    </xf>
    <xf numFmtId="0" fontId="8" fillId="10" borderId="15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right" vertical="center" wrapText="1"/>
    </xf>
    <xf numFmtId="0" fontId="7" fillId="2" borderId="17" xfId="0" applyFont="1" applyFill="1" applyBorder="1" applyAlignment="1">
      <alignment horizontal="right" vertical="center" wrapText="1"/>
    </xf>
    <xf numFmtId="0" fontId="7" fillId="2" borderId="18" xfId="0" applyFont="1" applyFill="1" applyBorder="1" applyAlignment="1">
      <alignment horizontal="right" vertical="center" wrapText="1"/>
    </xf>
    <xf numFmtId="165" fontId="8" fillId="0" borderId="19" xfId="0" applyNumberFormat="1" applyFont="1" applyBorder="1" applyAlignment="1">
      <alignment horizontal="right" vertical="top"/>
    </xf>
    <xf numFmtId="165" fontId="8" fillId="0" borderId="20" xfId="0" applyNumberFormat="1" applyFont="1" applyBorder="1" applyAlignment="1">
      <alignment horizontal="right" vertical="top"/>
    </xf>
    <xf numFmtId="0" fontId="0" fillId="0" borderId="21" xfId="0" applyBorder="1"/>
    <xf numFmtId="0" fontId="0" fillId="0" borderId="22" xfId="0" applyBorder="1"/>
    <xf numFmtId="0" fontId="7" fillId="2" borderId="23" xfId="0" applyFont="1" applyFill="1" applyBorder="1" applyAlignment="1">
      <alignment horizontal="right" vertical="center" wrapText="1"/>
    </xf>
    <xf numFmtId="0" fontId="7" fillId="2" borderId="24" xfId="0" applyFont="1" applyFill="1" applyBorder="1" applyAlignment="1">
      <alignment horizontal="right" vertical="center" wrapText="1"/>
    </xf>
    <xf numFmtId="167" fontId="8" fillId="0" borderId="19" xfId="0" applyNumberFormat="1" applyFont="1" applyBorder="1" applyAlignment="1">
      <alignment horizontal="right" vertical="top"/>
    </xf>
    <xf numFmtId="167" fontId="8" fillId="0" borderId="20" xfId="0" applyNumberFormat="1" applyFont="1" applyBorder="1" applyAlignment="1">
      <alignment horizontal="right" vertical="top"/>
    </xf>
    <xf numFmtId="167" fontId="17" fillId="9" borderId="19" xfId="0" applyNumberFormat="1" applyFont="1" applyFill="1" applyBorder="1" applyAlignment="1">
      <alignment horizontal="right" vertical="top"/>
    </xf>
    <xf numFmtId="167" fontId="17" fillId="9" borderId="20" xfId="0" applyNumberFormat="1" applyFont="1" applyFill="1" applyBorder="1" applyAlignment="1">
      <alignment horizontal="right" vertical="top"/>
    </xf>
    <xf numFmtId="167" fontId="17" fillId="10" borderId="19" xfId="0" applyNumberFormat="1" applyFont="1" applyFill="1" applyBorder="1" applyAlignment="1">
      <alignment horizontal="right" vertical="top"/>
    </xf>
    <xf numFmtId="167" fontId="17" fillId="10" borderId="20" xfId="0" applyNumberFormat="1" applyFont="1" applyFill="1" applyBorder="1" applyAlignment="1">
      <alignment horizontal="right" vertical="top"/>
    </xf>
    <xf numFmtId="167" fontId="8" fillId="0" borderId="25" xfId="0" applyNumberFormat="1" applyFont="1" applyBorder="1" applyAlignment="1">
      <alignment horizontal="right" vertical="top"/>
    </xf>
    <xf numFmtId="167" fontId="8" fillId="0" borderId="26" xfId="0" applyNumberFormat="1" applyFont="1" applyBorder="1" applyAlignment="1">
      <alignment horizontal="right" vertical="top"/>
    </xf>
    <xf numFmtId="167" fontId="8" fillId="0" borderId="27" xfId="0" applyNumberFormat="1" applyFont="1" applyBorder="1" applyAlignment="1">
      <alignment horizontal="right" vertical="top"/>
    </xf>
    <xf numFmtId="165" fontId="8" fillId="0" borderId="28" xfId="0" applyNumberFormat="1" applyFont="1" applyBorder="1" applyAlignment="1">
      <alignment horizontal="right" vertical="top"/>
    </xf>
    <xf numFmtId="0" fontId="0" fillId="0" borderId="13" xfId="0" applyBorder="1" applyAlignment="1">
      <alignment horizontal="center"/>
    </xf>
    <xf numFmtId="167" fontId="0" fillId="0" borderId="0" xfId="0" applyNumberFormat="1"/>
    <xf numFmtId="170" fontId="0" fillId="0" borderId="0" xfId="0" applyNumberFormat="1"/>
    <xf numFmtId="0" fontId="24" fillId="0" borderId="0" xfId="0" applyFont="1"/>
    <xf numFmtId="167" fontId="24" fillId="0" borderId="0" xfId="0" applyNumberFormat="1" applyFont="1"/>
    <xf numFmtId="164" fontId="0" fillId="0" borderId="0" xfId="0" applyNumberFormat="1"/>
    <xf numFmtId="167" fontId="0" fillId="0" borderId="29" xfId="0" applyNumberFormat="1" applyBorder="1"/>
    <xf numFmtId="167" fontId="0" fillId="0" borderId="30" xfId="0" applyNumberFormat="1" applyBorder="1"/>
    <xf numFmtId="0" fontId="0" fillId="0" borderId="30" xfId="0" applyBorder="1"/>
    <xf numFmtId="0" fontId="24" fillId="0" borderId="30" xfId="0" applyFont="1" applyBorder="1"/>
    <xf numFmtId="0" fontId="0" fillId="0" borderId="29" xfId="0" applyBorder="1"/>
    <xf numFmtId="4" fontId="17" fillId="9" borderId="19" xfId="0" applyNumberFormat="1" applyFont="1" applyFill="1" applyBorder="1" applyAlignment="1">
      <alignment horizontal="right" vertical="top"/>
    </xf>
    <xf numFmtId="14" fontId="14" fillId="0" borderId="0" xfId="0" applyNumberFormat="1" applyFont="1"/>
    <xf numFmtId="167" fontId="14" fillId="0" borderId="0" xfId="0" applyNumberFormat="1" applyFont="1"/>
    <xf numFmtId="0" fontId="26" fillId="0" borderId="0" xfId="0" applyFont="1"/>
    <xf numFmtId="0" fontId="26" fillId="0" borderId="30" xfId="0" applyFont="1" applyBorder="1"/>
    <xf numFmtId="167" fontId="26" fillId="0" borderId="0" xfId="0" applyNumberFormat="1" applyFont="1"/>
    <xf numFmtId="14" fontId="25" fillId="0" borderId="0" xfId="0" applyNumberFormat="1" applyFont="1"/>
    <xf numFmtId="14" fontId="5" fillId="0" borderId="0" xfId="0" applyNumberFormat="1" applyFont="1"/>
    <xf numFmtId="14" fontId="27" fillId="0" borderId="0" xfId="0" applyNumberFormat="1" applyFont="1"/>
    <xf numFmtId="165" fontId="8" fillId="0" borderId="19" xfId="0" applyNumberFormat="1" applyFont="1" applyFill="1" applyBorder="1" applyAlignment="1">
      <alignment horizontal="right" vertical="top"/>
    </xf>
    <xf numFmtId="0" fontId="28" fillId="0" borderId="0" xfId="0" applyFont="1"/>
    <xf numFmtId="0" fontId="29" fillId="0" borderId="0" xfId="0" applyFont="1"/>
    <xf numFmtId="14" fontId="29" fillId="0" borderId="0" xfId="0" applyNumberFormat="1" applyFont="1"/>
    <xf numFmtId="0" fontId="30" fillId="4" borderId="2" xfId="0" applyFont="1" applyFill="1" applyBorder="1" applyAlignment="1">
      <alignment horizontal="left" vertical="top"/>
    </xf>
    <xf numFmtId="164" fontId="30" fillId="0" borderId="2" xfId="0" applyNumberFormat="1" applyFont="1" applyBorder="1" applyAlignment="1">
      <alignment horizontal="left" vertical="top"/>
    </xf>
    <xf numFmtId="168" fontId="31" fillId="7" borderId="2" xfId="0" applyNumberFormat="1" applyFont="1" applyFill="1" applyBorder="1" applyAlignment="1">
      <alignment horizontal="left" vertical="top"/>
    </xf>
    <xf numFmtId="14" fontId="30" fillId="0" borderId="2" xfId="0" applyNumberFormat="1" applyFont="1" applyBorder="1" applyAlignment="1">
      <alignment horizontal="left" vertical="top"/>
    </xf>
    <xf numFmtId="167" fontId="30" fillId="0" borderId="2" xfId="0" applyNumberFormat="1" applyFont="1" applyBorder="1" applyAlignment="1">
      <alignment horizontal="right" vertical="top"/>
    </xf>
    <xf numFmtId="0" fontId="30" fillId="0" borderId="15" xfId="0" applyFont="1" applyBorder="1" applyAlignment="1">
      <alignment horizontal="left" vertical="top" wrapText="1"/>
    </xf>
    <xf numFmtId="167" fontId="30" fillId="0" borderId="19" xfId="0" applyNumberFormat="1" applyFont="1" applyBorder="1" applyAlignment="1">
      <alignment horizontal="right" vertical="top"/>
    </xf>
    <xf numFmtId="167" fontId="30" fillId="0" borderId="20" xfId="0" applyNumberFormat="1" applyFont="1" applyBorder="1" applyAlignment="1">
      <alignment horizontal="right" vertical="top"/>
    </xf>
    <xf numFmtId="0" fontId="30" fillId="0" borderId="2" xfId="0" applyFont="1" applyBorder="1" applyAlignment="1">
      <alignment horizontal="left" vertical="top"/>
    </xf>
    <xf numFmtId="0" fontId="32" fillId="0" borderId="0" xfId="0" applyFont="1"/>
    <xf numFmtId="14" fontId="33" fillId="0" borderId="0" xfId="0" applyNumberFormat="1" applyFont="1"/>
    <xf numFmtId="168" fontId="18" fillId="7" borderId="2" xfId="0" applyNumberFormat="1" applyFont="1" applyFill="1" applyBorder="1" applyAlignment="1">
      <alignment horizontal="left" vertical="top"/>
    </xf>
    <xf numFmtId="170" fontId="29" fillId="0" borderId="0" xfId="0" applyNumberFormat="1" applyFont="1"/>
    <xf numFmtId="0" fontId="33" fillId="0" borderId="0" xfId="0" applyFont="1"/>
    <xf numFmtId="0" fontId="5" fillId="0" borderId="0" xfId="0" applyFont="1"/>
    <xf numFmtId="0" fontId="29" fillId="8" borderId="0" xfId="0" applyFont="1" applyFill="1"/>
    <xf numFmtId="14" fontId="29" fillId="8" borderId="0" xfId="0" applyNumberFormat="1" applyFont="1" applyFill="1"/>
    <xf numFmtId="0" fontId="0" fillId="8" borderId="0" xfId="0" applyFill="1"/>
    <xf numFmtId="165" fontId="0" fillId="8" borderId="0" xfId="0" applyNumberFormat="1" applyFill="1"/>
    <xf numFmtId="14" fontId="5" fillId="8" borderId="0" xfId="0" applyNumberFormat="1" applyFont="1" applyFill="1"/>
    <xf numFmtId="169" fontId="0" fillId="8" borderId="0" xfId="0" applyNumberFormat="1" applyFill="1"/>
    <xf numFmtId="169" fontId="25" fillId="8" borderId="0" xfId="0" applyNumberFormat="1" applyFont="1" applyFill="1"/>
    <xf numFmtId="169" fontId="5" fillId="8" borderId="0" xfId="0" applyNumberFormat="1" applyFont="1" applyFill="1"/>
    <xf numFmtId="165" fontId="25" fillId="8" borderId="0" xfId="0" applyNumberFormat="1" applyFont="1" applyFill="1"/>
    <xf numFmtId="165" fontId="5" fillId="8" borderId="0" xfId="0" applyNumberFormat="1" applyFont="1" applyFill="1"/>
    <xf numFmtId="0" fontId="25" fillId="8" borderId="0" xfId="0" applyFont="1" applyFill="1"/>
    <xf numFmtId="0" fontId="34" fillId="0" borderId="0" xfId="0" applyFont="1"/>
    <xf numFmtId="14" fontId="34" fillId="0" borderId="0" xfId="0" applyNumberFormat="1" applyFont="1"/>
    <xf numFmtId="14" fontId="4" fillId="8" borderId="0" xfId="0" applyNumberFormat="1" applyFont="1" applyFill="1"/>
    <xf numFmtId="0" fontId="3" fillId="0" borderId="0" xfId="0" applyFont="1"/>
    <xf numFmtId="0" fontId="6" fillId="0" borderId="0" xfId="0" applyFont="1" applyAlignment="1">
      <alignment vertical="top" wrapText="1" readingOrder="1"/>
    </xf>
    <xf numFmtId="14" fontId="0" fillId="0" borderId="0" xfId="0" applyNumberFormat="1" applyAlignment="1">
      <alignment horizontal="center"/>
    </xf>
    <xf numFmtId="14" fontId="14" fillId="0" borderId="8" xfId="0" applyNumberFormat="1" applyFont="1" applyBorder="1" applyAlignment="1" applyProtection="1">
      <alignment horizontal="center" vertical="top" readingOrder="1"/>
      <protection locked="0"/>
    </xf>
    <xf numFmtId="14" fontId="14" fillId="0" borderId="0" xfId="0" applyNumberFormat="1" applyFont="1" applyBorder="1" applyAlignment="1" applyProtection="1">
      <alignment horizontal="center" vertical="top" readingOrder="1"/>
      <protection locked="0"/>
    </xf>
    <xf numFmtId="14" fontId="23" fillId="0" borderId="9" xfId="0" applyNumberFormat="1" applyFont="1" applyBorder="1" applyAlignment="1" applyProtection="1">
      <alignment horizontal="center" vertical="top" readingOrder="1"/>
      <protection locked="0"/>
    </xf>
    <xf numFmtId="14" fontId="14" fillId="0" borderId="5" xfId="0" applyNumberFormat="1" applyFont="1" applyBorder="1" applyAlignment="1" applyProtection="1">
      <alignment horizontal="center" vertical="top" readingOrder="1"/>
      <protection locked="0"/>
    </xf>
    <xf numFmtId="14" fontId="23" fillId="0" borderId="0" xfId="0" applyNumberFormat="1" applyFont="1" applyBorder="1" applyAlignment="1" applyProtection="1">
      <alignment horizontal="center" vertical="top" readingOrder="1"/>
      <protection locked="0"/>
    </xf>
    <xf numFmtId="14" fontId="14" fillId="0" borderId="4" xfId="0" applyNumberFormat="1" applyFont="1" applyBorder="1" applyAlignment="1" applyProtection="1">
      <alignment horizontal="center" vertical="top" readingOrder="1"/>
      <protection locked="0"/>
    </xf>
    <xf numFmtId="171" fontId="11" fillId="7" borderId="8" xfId="1" applyNumberFormat="1" applyFont="1" applyFill="1" applyBorder="1" applyAlignment="1">
      <alignment horizontal="center" vertical="top"/>
    </xf>
    <xf numFmtId="171" fontId="11" fillId="7" borderId="8" xfId="1" applyNumberFormat="1" applyFont="1" applyFill="1" applyBorder="1" applyAlignment="1">
      <alignment horizontal="right" vertical="top"/>
    </xf>
    <xf numFmtId="171" fontId="11" fillId="10" borderId="8" xfId="1" applyNumberFormat="1" applyFont="1" applyFill="1" applyBorder="1" applyAlignment="1">
      <alignment horizontal="right" vertical="top"/>
    </xf>
    <xf numFmtId="171" fontId="11" fillId="11" borderId="8" xfId="1" applyNumberFormat="1" applyFont="1" applyFill="1" applyBorder="1" applyAlignment="1">
      <alignment horizontal="right" vertical="top"/>
    </xf>
    <xf numFmtId="171" fontId="23" fillId="7" borderId="9" xfId="1" applyNumberFormat="1" applyFont="1" applyFill="1" applyBorder="1" applyAlignment="1">
      <alignment horizontal="right" vertical="top"/>
    </xf>
    <xf numFmtId="171" fontId="11" fillId="7" borderId="9" xfId="1" applyNumberFormat="1" applyFont="1" applyFill="1" applyBorder="1" applyAlignment="1">
      <alignment horizontal="right" vertical="top"/>
    </xf>
    <xf numFmtId="171" fontId="23" fillId="10" borderId="9" xfId="1" applyNumberFormat="1" applyFont="1" applyFill="1" applyBorder="1" applyAlignment="1">
      <alignment horizontal="right" vertical="top"/>
    </xf>
    <xf numFmtId="171" fontId="23" fillId="11" borderId="9" xfId="1" applyNumberFormat="1" applyFont="1" applyFill="1" applyBorder="1" applyAlignment="1">
      <alignment horizontal="right" vertical="top"/>
    </xf>
    <xf numFmtId="171" fontId="11" fillId="7" borderId="4" xfId="0" applyNumberFormat="1" applyFont="1" applyFill="1" applyBorder="1" applyAlignment="1">
      <alignment horizontal="right" vertical="top"/>
    </xf>
    <xf numFmtId="171" fontId="11" fillId="10" borderId="4" xfId="0" applyNumberFormat="1" applyFont="1" applyFill="1" applyBorder="1" applyAlignment="1">
      <alignment horizontal="right" vertical="top"/>
    </xf>
    <xf numFmtId="171" fontId="11" fillId="11" borderId="4" xfId="0" applyNumberFormat="1" applyFont="1" applyFill="1" applyBorder="1" applyAlignment="1">
      <alignment horizontal="right" vertical="top"/>
    </xf>
    <xf numFmtId="171" fontId="11" fillId="10" borderId="11" xfId="0" applyNumberFormat="1" applyFont="1" applyFill="1" applyBorder="1" applyAlignment="1">
      <alignment horizontal="right" vertical="top"/>
    </xf>
    <xf numFmtId="171" fontId="11" fillId="11" borderId="11" xfId="0" applyNumberFormat="1" applyFont="1" applyFill="1" applyBorder="1" applyAlignment="1">
      <alignment horizontal="right" vertical="top"/>
    </xf>
    <xf numFmtId="171" fontId="11" fillId="10" borderId="6" xfId="0" applyNumberFormat="1" applyFont="1" applyFill="1" applyBorder="1" applyAlignment="1">
      <alignment horizontal="right" vertical="top"/>
    </xf>
    <xf numFmtId="171" fontId="23" fillId="10" borderId="6" xfId="0" applyNumberFormat="1" applyFont="1" applyFill="1" applyBorder="1" applyAlignment="1">
      <alignment horizontal="right" vertical="top"/>
    </xf>
    <xf numFmtId="171" fontId="11" fillId="11" borderId="6" xfId="0" applyNumberFormat="1" applyFont="1" applyFill="1" applyBorder="1" applyAlignment="1">
      <alignment horizontal="right" vertical="top"/>
    </xf>
    <xf numFmtId="171" fontId="11" fillId="0" borderId="0" xfId="0" applyNumberFormat="1" applyFont="1" applyAlignment="1">
      <alignment horizontal="center"/>
    </xf>
    <xf numFmtId="171" fontId="11" fillId="0" borderId="0" xfId="0" applyNumberFormat="1" applyFont="1"/>
    <xf numFmtId="171" fontId="23" fillId="7" borderId="0" xfId="1" applyNumberFormat="1" applyFont="1" applyFill="1" applyBorder="1" applyAlignment="1">
      <alignment horizontal="right" vertical="top"/>
    </xf>
    <xf numFmtId="171" fontId="23" fillId="10" borderId="0" xfId="1" applyNumberFormat="1" applyFont="1" applyFill="1" applyBorder="1" applyAlignment="1">
      <alignment horizontal="right" vertical="top"/>
    </xf>
    <xf numFmtId="171" fontId="23" fillId="11" borderId="0" xfId="1" applyNumberFormat="1" applyFont="1" applyFill="1" applyBorder="1" applyAlignment="1">
      <alignment horizontal="right" vertical="top"/>
    </xf>
    <xf numFmtId="171" fontId="11" fillId="7" borderId="0" xfId="0" applyNumberFormat="1" applyFont="1" applyFill="1" applyBorder="1" applyAlignment="1">
      <alignment horizontal="right" vertical="top"/>
    </xf>
    <xf numFmtId="171" fontId="11" fillId="10" borderId="0" xfId="0" applyNumberFormat="1" applyFont="1" applyFill="1" applyBorder="1" applyAlignment="1">
      <alignment horizontal="right" vertical="top"/>
    </xf>
    <xf numFmtId="171" fontId="11" fillId="11" borderId="0" xfId="0" applyNumberFormat="1" applyFont="1" applyFill="1" applyBorder="1" applyAlignment="1">
      <alignment horizontal="right" vertical="top"/>
    </xf>
    <xf numFmtId="171" fontId="23" fillId="7" borderId="9" xfId="0" applyNumberFormat="1" applyFont="1" applyFill="1" applyBorder="1" applyAlignment="1">
      <alignment horizontal="right" vertical="top"/>
    </xf>
    <xf numFmtId="171" fontId="11" fillId="7" borderId="2" xfId="0" applyNumberFormat="1" applyFont="1" applyFill="1" applyBorder="1" applyAlignment="1">
      <alignment horizontal="right" vertical="top"/>
    </xf>
    <xf numFmtId="171" fontId="11" fillId="10" borderId="2" xfId="0" applyNumberFormat="1" applyFont="1" applyFill="1" applyBorder="1" applyAlignment="1">
      <alignment horizontal="right" vertical="top"/>
    </xf>
    <xf numFmtId="171" fontId="11" fillId="11" borderId="2" xfId="0" applyNumberFormat="1" applyFont="1" applyFill="1" applyBorder="1" applyAlignment="1">
      <alignment horizontal="right" vertical="top"/>
    </xf>
    <xf numFmtId="171" fontId="11" fillId="10" borderId="3" xfId="0" applyNumberFormat="1" applyFont="1" applyFill="1" applyBorder="1" applyAlignment="1">
      <alignment horizontal="right" vertical="top"/>
    </xf>
    <xf numFmtId="171" fontId="11" fillId="11" borderId="3" xfId="0" applyNumberFormat="1" applyFont="1" applyFill="1" applyBorder="1" applyAlignment="1">
      <alignment horizontal="right" vertical="top"/>
    </xf>
    <xf numFmtId="171" fontId="14" fillId="0" borderId="8" xfId="0" applyNumberFormat="1" applyFont="1" applyBorder="1" applyAlignment="1">
      <alignment horizontal="right" vertical="top"/>
    </xf>
    <xf numFmtId="171" fontId="14" fillId="0" borderId="0" xfId="0" applyNumberFormat="1" applyFont="1" applyBorder="1" applyAlignment="1">
      <alignment horizontal="right" vertical="top"/>
    </xf>
    <xf numFmtId="171" fontId="1" fillId="0" borderId="0" xfId="0" applyNumberFormat="1" applyFont="1"/>
    <xf numFmtId="171" fontId="21" fillId="0" borderId="9" xfId="0" applyNumberFormat="1" applyFont="1" applyBorder="1" applyAlignment="1">
      <alignment horizontal="right" vertical="top"/>
    </xf>
    <xf numFmtId="171" fontId="35" fillId="7" borderId="9" xfId="1" applyNumberFormat="1" applyFont="1" applyFill="1" applyBorder="1" applyAlignment="1">
      <alignment horizontal="center" vertical="top"/>
    </xf>
    <xf numFmtId="171" fontId="11" fillId="7" borderId="4" xfId="0" applyNumberFormat="1" applyFont="1" applyFill="1" applyBorder="1" applyAlignment="1">
      <alignment horizontal="center" vertical="top"/>
    </xf>
    <xf numFmtId="171" fontId="14" fillId="0" borderId="4" xfId="0" applyNumberFormat="1" applyFont="1" applyBorder="1" applyAlignment="1">
      <alignment horizontal="right" vertical="top"/>
    </xf>
    <xf numFmtId="171" fontId="11" fillId="7" borderId="2" xfId="0" applyNumberFormat="1" applyFont="1" applyFill="1" applyBorder="1" applyAlignment="1">
      <alignment horizontal="center" vertical="top"/>
    </xf>
    <xf numFmtId="171" fontId="11" fillId="7" borderId="3" xfId="0" applyNumberFormat="1" applyFont="1" applyFill="1" applyBorder="1" applyAlignment="1">
      <alignment horizontal="center" vertical="top"/>
    </xf>
    <xf numFmtId="171" fontId="11" fillId="7" borderId="3" xfId="0" applyNumberFormat="1" applyFont="1" applyFill="1" applyBorder="1" applyAlignment="1">
      <alignment horizontal="right" vertical="top"/>
    </xf>
    <xf numFmtId="171" fontId="14" fillId="0" borderId="6" xfId="0" applyNumberFormat="1" applyFont="1" applyBorder="1" applyAlignment="1">
      <alignment horizontal="right" vertical="top"/>
    </xf>
    <xf numFmtId="171" fontId="11" fillId="7" borderId="6" xfId="0" applyNumberFormat="1" applyFont="1" applyFill="1" applyBorder="1" applyAlignment="1">
      <alignment horizontal="center" vertical="top"/>
    </xf>
    <xf numFmtId="171" fontId="11" fillId="7" borderId="6" xfId="0" applyNumberFormat="1" applyFont="1" applyFill="1" applyBorder="1" applyAlignment="1">
      <alignment horizontal="right" vertical="top"/>
    </xf>
    <xf numFmtId="171" fontId="11" fillId="7" borderId="7" xfId="0" applyNumberFormat="1" applyFont="1" applyFill="1" applyBorder="1" applyAlignment="1">
      <alignment horizontal="right" vertical="top"/>
    </xf>
    <xf numFmtId="171" fontId="21" fillId="0" borderId="0" xfId="0" applyNumberFormat="1" applyFont="1" applyBorder="1" applyAlignment="1">
      <alignment horizontal="right" vertical="top"/>
    </xf>
    <xf numFmtId="171" fontId="23" fillId="7" borderId="0" xfId="1" applyNumberFormat="1" applyFont="1" applyFill="1" applyBorder="1" applyAlignment="1">
      <alignment horizontal="center" vertical="top"/>
    </xf>
    <xf numFmtId="171" fontId="35" fillId="7" borderId="0" xfId="1" applyNumberFormat="1" applyFont="1" applyFill="1" applyBorder="1" applyAlignment="1">
      <alignment horizontal="center" vertical="top"/>
    </xf>
    <xf numFmtId="171" fontId="11" fillId="7" borderId="0" xfId="0" applyNumberFormat="1" applyFont="1" applyFill="1" applyBorder="1" applyAlignment="1">
      <alignment horizontal="center" vertical="top"/>
    </xf>
    <xf numFmtId="171" fontId="23" fillId="0" borderId="9" xfId="0" applyNumberFormat="1" applyFont="1" applyBorder="1" applyAlignment="1">
      <alignment horizontal="right" vertical="top"/>
    </xf>
    <xf numFmtId="171" fontId="14" fillId="0" borderId="2" xfId="0" applyNumberFormat="1" applyFont="1" applyBorder="1" applyAlignment="1">
      <alignment horizontal="right" vertical="top"/>
    </xf>
    <xf numFmtId="171" fontId="23" fillId="0" borderId="0" xfId="0" applyNumberFormat="1" applyFont="1" applyBorder="1" applyAlignment="1">
      <alignment horizontal="right" vertical="top"/>
    </xf>
    <xf numFmtId="171" fontId="23" fillId="7" borderId="0" xfId="0" applyNumberFormat="1" applyFont="1" applyFill="1" applyBorder="1" applyAlignment="1">
      <alignment horizontal="right" vertical="top"/>
    </xf>
    <xf numFmtId="14" fontId="16" fillId="8" borderId="0" xfId="0" applyNumberFormat="1" applyFont="1" applyFill="1" applyAlignment="1" applyProtection="1">
      <alignment horizontal="left" readingOrder="1"/>
      <protection locked="0"/>
    </xf>
    <xf numFmtId="14" fontId="14" fillId="0" borderId="11" xfId="0" applyNumberFormat="1" applyFont="1" applyBorder="1" applyAlignment="1" applyProtection="1">
      <alignment horizontal="center" vertical="top" readingOrder="1"/>
      <protection locked="0"/>
    </xf>
    <xf numFmtId="171" fontId="14" fillId="0" borderId="11" xfId="0" applyNumberFormat="1" applyFont="1" applyBorder="1" applyAlignment="1">
      <alignment horizontal="right" vertical="top"/>
    </xf>
    <xf numFmtId="171" fontId="11" fillId="7" borderId="11" xfId="0" applyNumberFormat="1" applyFont="1" applyFill="1" applyBorder="1" applyAlignment="1">
      <alignment horizontal="center" vertical="top"/>
    </xf>
    <xf numFmtId="171" fontId="11" fillId="7" borderId="11" xfId="0" applyNumberFormat="1" applyFont="1" applyFill="1" applyBorder="1" applyAlignment="1">
      <alignment horizontal="right" vertical="top"/>
    </xf>
    <xf numFmtId="171" fontId="11" fillId="7" borderId="0" xfId="1" applyNumberFormat="1" applyFont="1" applyFill="1" applyBorder="1" applyAlignment="1">
      <alignment horizontal="right" vertical="top"/>
    </xf>
    <xf numFmtId="171" fontId="11" fillId="10" borderId="0" xfId="1" applyNumberFormat="1" applyFont="1" applyFill="1" applyBorder="1" applyAlignment="1">
      <alignment horizontal="right" vertical="top"/>
    </xf>
    <xf numFmtId="171" fontId="11" fillId="11" borderId="0" xfId="1" applyNumberFormat="1" applyFont="1" applyFill="1" applyBorder="1" applyAlignment="1">
      <alignment horizontal="right" vertical="top"/>
    </xf>
    <xf numFmtId="172" fontId="35" fillId="0" borderId="0" xfId="0" applyNumberFormat="1" applyFont="1" applyAlignment="1">
      <alignment readingOrder="1"/>
    </xf>
    <xf numFmtId="172" fontId="35" fillId="10" borderId="0" xfId="0" applyNumberFormat="1" applyFont="1" applyFill="1" applyAlignment="1">
      <alignment readingOrder="1"/>
    </xf>
    <xf numFmtId="172" fontId="35" fillId="10" borderId="9" xfId="0" applyNumberFormat="1" applyFont="1" applyFill="1" applyBorder="1" applyAlignment="1">
      <alignment readingOrder="1"/>
    </xf>
    <xf numFmtId="172" fontId="35" fillId="0" borderId="31" xfId="0" applyNumberFormat="1" applyFont="1" applyBorder="1" applyAlignment="1">
      <alignment readingOrder="1"/>
    </xf>
    <xf numFmtId="172" fontId="35" fillId="10" borderId="0" xfId="0" applyNumberFormat="1" applyFont="1" applyFill="1" applyBorder="1" applyAlignment="1">
      <alignment readingOrder="1"/>
    </xf>
    <xf numFmtId="172" fontId="35" fillId="10" borderId="0" xfId="0" applyNumberFormat="1" applyFont="1" applyFill="1" applyBorder="1" applyAlignment="1">
      <alignment horizontal="right" readingOrder="1"/>
    </xf>
    <xf numFmtId="172" fontId="0" fillId="0" borderId="0" xfId="0" applyNumberFormat="1" applyAlignment="1">
      <alignment readingOrder="1"/>
    </xf>
    <xf numFmtId="14" fontId="14" fillId="0" borderId="32" xfId="0" applyNumberFormat="1" applyFont="1" applyBorder="1" applyAlignment="1" applyProtection="1">
      <alignment horizontal="center" vertical="top" readingOrder="1"/>
      <protection locked="0"/>
    </xf>
    <xf numFmtId="171" fontId="14" fillId="0" borderId="32" xfId="0" applyNumberFormat="1" applyFont="1" applyBorder="1" applyAlignment="1">
      <alignment horizontal="right" vertical="top"/>
    </xf>
    <xf numFmtId="171" fontId="11" fillId="7" borderId="32" xfId="1" applyNumberFormat="1" applyFont="1" applyFill="1" applyBorder="1" applyAlignment="1">
      <alignment horizontal="center" vertical="top"/>
    </xf>
    <xf numFmtId="171" fontId="14" fillId="0" borderId="33" xfId="0" applyNumberFormat="1" applyFont="1" applyBorder="1" applyAlignment="1">
      <alignment horizontal="right" vertical="top"/>
    </xf>
    <xf numFmtId="171" fontId="11" fillId="7" borderId="32" xfId="1" applyNumberFormat="1" applyFont="1" applyFill="1" applyBorder="1" applyAlignment="1">
      <alignment horizontal="right" vertical="top"/>
    </xf>
    <xf numFmtId="171" fontId="11" fillId="10" borderId="32" xfId="1" applyNumberFormat="1" applyFont="1" applyFill="1" applyBorder="1" applyAlignment="1">
      <alignment horizontal="right" vertical="top"/>
    </xf>
    <xf numFmtId="171" fontId="11" fillId="11" borderId="32" xfId="1" applyNumberFormat="1" applyFont="1" applyFill="1" applyBorder="1" applyAlignment="1">
      <alignment horizontal="right" vertical="top"/>
    </xf>
    <xf numFmtId="172" fontId="35" fillId="10" borderId="33" xfId="0" applyNumberFormat="1" applyFont="1" applyFill="1" applyBorder="1" applyAlignment="1">
      <alignment readingOrder="1"/>
    </xf>
    <xf numFmtId="14" fontId="13" fillId="2" borderId="16" xfId="0" applyNumberFormat="1" applyFont="1" applyFill="1" applyBorder="1" applyAlignment="1" applyProtection="1">
      <alignment horizontal="center" vertical="top" readingOrder="1"/>
      <protection locked="0"/>
    </xf>
    <xf numFmtId="0" fontId="13" fillId="2" borderId="17" xfId="0" applyFont="1" applyFill="1" applyBorder="1" applyAlignment="1">
      <alignment horizontal="center" vertical="top" wrapText="1" readingOrder="1"/>
    </xf>
    <xf numFmtId="2" fontId="15" fillId="7" borderId="17" xfId="1" applyNumberFormat="1" applyFont="1" applyFill="1" applyBorder="1" applyAlignment="1">
      <alignment horizontal="center" vertical="top" wrapText="1" readingOrder="1"/>
    </xf>
    <xf numFmtId="0" fontId="13" fillId="2" borderId="17" xfId="0" applyFont="1" applyFill="1" applyBorder="1" applyAlignment="1">
      <alignment horizontal="right" vertical="top" wrapText="1" readingOrder="1"/>
    </xf>
    <xf numFmtId="4" fontId="11" fillId="7" borderId="17" xfId="1" applyNumberFormat="1" applyFont="1" applyFill="1" applyBorder="1" applyAlignment="1">
      <alignment horizontal="right" vertical="top" wrapText="1" readingOrder="1"/>
    </xf>
    <xf numFmtId="4" fontId="11" fillId="10" borderId="17" xfId="1" applyNumberFormat="1" applyFont="1" applyFill="1" applyBorder="1" applyAlignment="1">
      <alignment horizontal="right" vertical="top" wrapText="1" readingOrder="1"/>
    </xf>
    <xf numFmtId="4" fontId="11" fillId="11" borderId="17" xfId="1" applyNumberFormat="1" applyFont="1" applyFill="1" applyBorder="1" applyAlignment="1">
      <alignment horizontal="right" vertical="top" wrapText="1" readingOrder="1"/>
    </xf>
    <xf numFmtId="172" fontId="35" fillId="10" borderId="35" xfId="0" applyNumberFormat="1" applyFont="1" applyFill="1" applyBorder="1" applyAlignment="1">
      <alignment vertical="top" readingOrder="1"/>
    </xf>
    <xf numFmtId="14" fontId="16" fillId="8" borderId="34" xfId="0" applyNumberFormat="1" applyFont="1" applyFill="1" applyBorder="1" applyAlignment="1" applyProtection="1">
      <alignment horizontal="left" readingOrder="1"/>
      <protection locked="0"/>
    </xf>
    <xf numFmtId="0" fontId="2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2" fillId="0" borderId="34" xfId="0" applyFont="1" applyBorder="1"/>
    <xf numFmtId="0" fontId="11" fillId="0" borderId="34" xfId="0" applyFont="1" applyBorder="1" applyAlignment="1">
      <alignment horizontal="center"/>
    </xf>
    <xf numFmtId="0" fontId="11" fillId="0" borderId="34" xfId="0" applyFont="1" applyBorder="1"/>
    <xf numFmtId="0" fontId="11" fillId="0" borderId="34" xfId="0" applyFont="1" applyBorder="1" applyAlignment="1">
      <alignment vertical="top"/>
    </xf>
    <xf numFmtId="172" fontId="35" fillId="0" borderId="34" xfId="0" applyNumberFormat="1" applyFont="1" applyBorder="1" applyAlignment="1">
      <alignment readingOrder="1"/>
    </xf>
    <xf numFmtId="171" fontId="23" fillId="7" borderId="9" xfId="1" applyNumberFormat="1" applyFont="1" applyFill="1" applyBorder="1" applyAlignment="1">
      <alignment horizontal="center" vertical="top"/>
    </xf>
    <xf numFmtId="171" fontId="11" fillId="7" borderId="9" xfId="0" applyNumberFormat="1" applyFont="1" applyFill="1" applyBorder="1" applyAlignment="1">
      <alignment horizontal="right" vertical="top"/>
    </xf>
    <xf numFmtId="2" fontId="11" fillId="7" borderId="17" xfId="1" applyNumberFormat="1" applyFont="1" applyFill="1" applyBorder="1" applyAlignment="1">
      <alignment horizontal="center" vertical="top" wrapText="1" readingOrder="1"/>
    </xf>
    <xf numFmtId="2" fontId="29" fillId="0" borderId="17" xfId="1" applyNumberFormat="1" applyFont="1" applyFill="1" applyBorder="1" applyAlignment="1">
      <alignment horizontal="right" vertical="top" wrapText="1" readingOrder="1"/>
    </xf>
    <xf numFmtId="0" fontId="14" fillId="0" borderId="34" xfId="0" applyFont="1" applyFill="1" applyBorder="1" applyAlignment="1">
      <alignment horizontal="right"/>
    </xf>
    <xf numFmtId="171" fontId="14" fillId="0" borderId="33" xfId="1" applyNumberFormat="1" applyFont="1" applyFill="1" applyBorder="1" applyAlignment="1">
      <alignment horizontal="right" vertical="top"/>
    </xf>
    <xf numFmtId="171" fontId="14" fillId="0" borderId="9" xfId="1" applyNumberFormat="1" applyFont="1" applyFill="1" applyBorder="1" applyAlignment="1">
      <alignment horizontal="right" vertical="top"/>
    </xf>
    <xf numFmtId="171" fontId="14" fillId="0" borderId="0" xfId="0" applyNumberFormat="1" applyFont="1" applyFill="1" applyBorder="1" applyAlignment="1">
      <alignment horizontal="right" vertical="top"/>
    </xf>
    <xf numFmtId="171" fontId="14" fillId="0" borderId="0" xfId="0" applyNumberFormat="1" applyFont="1" applyFill="1" applyAlignment="1">
      <alignment horizontal="right"/>
    </xf>
    <xf numFmtId="171" fontId="14" fillId="0" borderId="8" xfId="1" applyNumberFormat="1" applyFont="1" applyFill="1" applyBorder="1" applyAlignment="1">
      <alignment horizontal="right" vertical="top"/>
    </xf>
    <xf numFmtId="171" fontId="14" fillId="0" borderId="0" xfId="1" applyNumberFormat="1" applyFont="1" applyFill="1" applyBorder="1" applyAlignment="1">
      <alignment horizontal="right" vertical="top"/>
    </xf>
    <xf numFmtId="0" fontId="14" fillId="0" borderId="0" xfId="0" applyFont="1" applyFill="1" applyAlignment="1">
      <alignment horizontal="right"/>
    </xf>
    <xf numFmtId="2" fontId="11" fillId="7" borderId="17" xfId="1" applyNumberFormat="1" applyFont="1" applyFill="1" applyBorder="1" applyAlignment="1">
      <alignment horizontal="right" vertical="top" wrapText="1" readingOrder="1"/>
    </xf>
    <xf numFmtId="0" fontId="11" fillId="0" borderId="34" xfId="0" applyFont="1" applyBorder="1" applyAlignment="1">
      <alignment horizontal="right"/>
    </xf>
    <xf numFmtId="171" fontId="11" fillId="0" borderId="0" xfId="0" applyNumberFormat="1" applyFont="1" applyAlignment="1">
      <alignment horizontal="right"/>
    </xf>
    <xf numFmtId="171" fontId="35" fillId="7" borderId="0" xfId="1" applyNumberFormat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4" fontId="37" fillId="0" borderId="36" xfId="0" applyNumberFormat="1" applyFont="1" applyFill="1" applyBorder="1" applyAlignment="1">
      <alignment horizontal="right" vertical="top"/>
    </xf>
    <xf numFmtId="171" fontId="11" fillId="7" borderId="15" xfId="0" applyNumberFormat="1" applyFont="1" applyFill="1" applyBorder="1" applyAlignment="1">
      <alignment horizontal="right" vertical="top"/>
    </xf>
    <xf numFmtId="171" fontId="11" fillId="7" borderId="37" xfId="0" applyNumberFormat="1" applyFont="1" applyFill="1" applyBorder="1" applyAlignment="1">
      <alignment horizontal="right" vertical="top"/>
    </xf>
    <xf numFmtId="171" fontId="11" fillId="7" borderId="38" xfId="0" applyNumberFormat="1" applyFont="1" applyFill="1" applyBorder="1" applyAlignment="1">
      <alignment horizontal="right" vertical="top"/>
    </xf>
    <xf numFmtId="171" fontId="35" fillId="7" borderId="9" xfId="0" applyNumberFormat="1" applyFont="1" applyFill="1" applyBorder="1" applyAlignment="1">
      <alignment horizontal="right" vertical="top"/>
    </xf>
    <xf numFmtId="2" fontId="0" fillId="0" borderId="0" xfId="0" applyNumberFormat="1"/>
    <xf numFmtId="0" fontId="0" fillId="0" borderId="31" xfId="0" applyBorder="1"/>
    <xf numFmtId="2" fontId="0" fillId="0" borderId="31" xfId="0" applyNumberFormat="1" applyBorder="1"/>
    <xf numFmtId="0" fontId="0" fillId="0" borderId="0" xfId="0" applyFill="1" applyBorder="1"/>
    <xf numFmtId="0" fontId="0" fillId="0" borderId="31" xfId="0" applyFill="1" applyBorder="1"/>
    <xf numFmtId="0" fontId="39" fillId="0" borderId="0" xfId="0" applyFont="1"/>
    <xf numFmtId="14" fontId="39" fillId="0" borderId="0" xfId="0" applyNumberFormat="1" applyFont="1"/>
    <xf numFmtId="2" fontId="39" fillId="0" borderId="0" xfId="0" applyNumberFormat="1" applyFont="1"/>
    <xf numFmtId="0" fontId="39" fillId="12" borderId="0" xfId="0" applyFont="1" applyFill="1"/>
    <xf numFmtId="2" fontId="39" fillId="12" borderId="0" xfId="0" applyNumberFormat="1" applyFont="1" applyFill="1"/>
    <xf numFmtId="0" fontId="39" fillId="0" borderId="31" xfId="0" applyFont="1" applyBorder="1"/>
    <xf numFmtId="14" fontId="39" fillId="0" borderId="31" xfId="0" applyNumberFormat="1" applyFont="1" applyBorder="1"/>
    <xf numFmtId="0" fontId="39" fillId="12" borderId="31" xfId="0" applyFont="1" applyFill="1" applyBorder="1"/>
    <xf numFmtId="2" fontId="39" fillId="12" borderId="31" xfId="0" applyNumberFormat="1" applyFont="1" applyFill="1" applyBorder="1"/>
    <xf numFmtId="0" fontId="39" fillId="0" borderId="0" xfId="0" applyFont="1" applyFill="1" applyBorder="1"/>
    <xf numFmtId="0" fontId="39" fillId="12" borderId="0" xfId="0" applyFont="1" applyFill="1" applyBorder="1"/>
    <xf numFmtId="0" fontId="39" fillId="0" borderId="31" xfId="0" applyFont="1" applyFill="1" applyBorder="1"/>
    <xf numFmtId="0" fontId="39" fillId="0" borderId="0" xfId="0" applyFont="1" applyBorder="1"/>
    <xf numFmtId="14" fontId="39" fillId="0" borderId="0" xfId="0" applyNumberFormat="1" applyFont="1" applyBorder="1"/>
    <xf numFmtId="2" fontId="39" fillId="12" borderId="0" xfId="0" applyNumberFormat="1" applyFont="1" applyFill="1" applyBorder="1"/>
    <xf numFmtId="2" fontId="0" fillId="0" borderId="0" xfId="0" applyNumberFormat="1" applyBorder="1"/>
    <xf numFmtId="2" fontId="39" fillId="0" borderId="31" xfId="0" applyNumberFormat="1" applyFont="1" applyBorder="1"/>
    <xf numFmtId="0" fontId="0" fillId="12" borderId="0" xfId="0" applyFill="1"/>
  </cellXfs>
  <cellStyles count="2">
    <cellStyle name="Neutrálna" xfId="1" builtinId="28"/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9999FF"/>
      <color rgb="FFFF9999"/>
      <color rgb="FFFFCCFF"/>
      <color rgb="FF99FFCC"/>
      <color rgb="FFEAEAEA"/>
      <color rgb="FF00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chabova/Desktop/BORDEL/Zmenasplatky1408141521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  <sheetName val="ValueList_Helpe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B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79"/>
  <sheetViews>
    <sheetView topLeftCell="A16" workbookViewId="0">
      <selection activeCell="D5" sqref="D5"/>
    </sheetView>
  </sheetViews>
  <sheetFormatPr defaultRowHeight="15" x14ac:dyDescent="0.25"/>
  <cols>
    <col min="2" max="2" width="11.28515625" customWidth="1"/>
    <col min="4" max="4" width="17.28515625" style="54" customWidth="1"/>
    <col min="6" max="6" width="12.5703125" customWidth="1"/>
    <col min="8" max="8" width="14.140625" customWidth="1"/>
    <col min="9" max="9" width="19" customWidth="1"/>
    <col min="10" max="10" width="15.5703125" customWidth="1"/>
    <col min="11" max="11" width="13.140625" customWidth="1"/>
  </cols>
  <sheetData>
    <row r="1" spans="1:11" x14ac:dyDescent="0.25">
      <c r="A1" s="17" t="s">
        <v>56</v>
      </c>
    </row>
    <row r="2" spans="1:11" ht="43.5" customHeight="1" x14ac:dyDescent="0.25">
      <c r="A2" s="24" t="s">
        <v>49</v>
      </c>
      <c r="B2" s="24" t="s">
        <v>41</v>
      </c>
      <c r="C2" s="27" t="s">
        <v>60</v>
      </c>
      <c r="D2" s="49" t="s">
        <v>67</v>
      </c>
      <c r="E2" s="27" t="s">
        <v>61</v>
      </c>
      <c r="F2" s="28" t="s">
        <v>66</v>
      </c>
      <c r="G2" s="27" t="s">
        <v>62</v>
      </c>
      <c r="H2" s="24" t="s">
        <v>63</v>
      </c>
      <c r="I2" s="24" t="s">
        <v>64</v>
      </c>
      <c r="J2" s="23" t="s">
        <v>78</v>
      </c>
      <c r="K2" s="23" t="s">
        <v>54</v>
      </c>
    </row>
    <row r="3" spans="1:11" ht="15.75" thickBot="1" x14ac:dyDescent="0.3">
      <c r="A3" s="32" t="s">
        <v>65</v>
      </c>
      <c r="B3" s="33">
        <v>41735</v>
      </c>
      <c r="C3" s="34">
        <v>999</v>
      </c>
      <c r="D3" s="50" t="e">
        <f>ROUND(C3/J3,2)</f>
        <v>#REF!</v>
      </c>
      <c r="E3" s="34"/>
      <c r="F3" s="35" t="e">
        <f>ROUND(E3/K3,2)</f>
        <v>#REF!</v>
      </c>
      <c r="G3" s="34"/>
      <c r="H3" s="32"/>
      <c r="I3" s="32"/>
      <c r="J3" s="20" t="e">
        <f t="shared" ref="J3:J9" si="0">VLOOKUP(B3,april,23,0)</f>
        <v>#REF!</v>
      </c>
      <c r="K3" s="20" t="e">
        <f t="shared" ref="K3:K9" si="1">VLOOKUP(B3,april,24,0)</f>
        <v>#REF!</v>
      </c>
    </row>
    <row r="4" spans="1:11" ht="15.75" thickTop="1" x14ac:dyDescent="0.25">
      <c r="A4" s="13" t="s">
        <v>0</v>
      </c>
      <c r="B4" s="12">
        <v>41779</v>
      </c>
      <c r="C4" s="26">
        <v>1599</v>
      </c>
      <c r="D4" s="55" t="e">
        <f>#REF!+Predpisy_splatka!F4</f>
        <v>#REF!</v>
      </c>
      <c r="E4" s="26">
        <v>50</v>
      </c>
      <c r="F4" s="31" t="e">
        <f>ROUND(E4/K4,2)</f>
        <v>#REF!</v>
      </c>
      <c r="G4" s="26">
        <v>0</v>
      </c>
      <c r="H4" s="13"/>
      <c r="I4" s="13" t="s">
        <v>50</v>
      </c>
      <c r="J4" s="16" t="e">
        <f t="shared" si="0"/>
        <v>#REF!</v>
      </c>
      <c r="K4" s="16" t="e">
        <f t="shared" si="1"/>
        <v>#REF!</v>
      </c>
    </row>
    <row r="5" spans="1:11" x14ac:dyDescent="0.25">
      <c r="A5" s="4" t="s">
        <v>0</v>
      </c>
      <c r="B5" s="3">
        <v>41810</v>
      </c>
      <c r="C5" s="8">
        <v>1599</v>
      </c>
      <c r="D5" s="55" t="e">
        <f>#REF!+Predpisy_splatka!F5</f>
        <v>#REF!</v>
      </c>
      <c r="E5" s="26">
        <v>50</v>
      </c>
      <c r="F5" s="31" t="e">
        <f t="shared" ref="F5:F9" si="2">ROUND(E5/K5,2)</f>
        <v>#REF!</v>
      </c>
      <c r="G5" s="8">
        <v>0</v>
      </c>
      <c r="H5" s="4"/>
      <c r="I5" s="4" t="s">
        <v>51</v>
      </c>
      <c r="J5" s="16" t="e">
        <f t="shared" si="0"/>
        <v>#REF!</v>
      </c>
      <c r="K5" s="16" t="e">
        <f t="shared" si="1"/>
        <v>#REF!</v>
      </c>
    </row>
    <row r="6" spans="1:11" x14ac:dyDescent="0.25">
      <c r="A6" s="4" t="s">
        <v>0</v>
      </c>
      <c r="B6" s="3">
        <v>41840</v>
      </c>
      <c r="C6" s="8">
        <v>1599</v>
      </c>
      <c r="D6" s="55" t="e">
        <f>#REF!+Predpisy_splatka!F6</f>
        <v>#REF!</v>
      </c>
      <c r="E6" s="26">
        <v>50</v>
      </c>
      <c r="F6" s="31" t="e">
        <f t="shared" si="2"/>
        <v>#REF!</v>
      </c>
      <c r="G6" s="8">
        <v>0</v>
      </c>
      <c r="H6" s="4"/>
      <c r="I6" s="4" t="s">
        <v>52</v>
      </c>
      <c r="J6" s="16" t="e">
        <f t="shared" si="0"/>
        <v>#REF!</v>
      </c>
      <c r="K6" s="16" t="e">
        <f t="shared" si="1"/>
        <v>#REF!</v>
      </c>
    </row>
    <row r="7" spans="1:11" x14ac:dyDescent="0.25">
      <c r="A7" s="4" t="s">
        <v>0</v>
      </c>
      <c r="B7" s="3">
        <v>41871</v>
      </c>
      <c r="C7" s="8">
        <v>1599</v>
      </c>
      <c r="D7" s="55" t="e">
        <f>#REF!+Predpisy_splatka!F7</f>
        <v>#REF!</v>
      </c>
      <c r="E7" s="26">
        <v>50</v>
      </c>
      <c r="F7" s="31" t="e">
        <f t="shared" si="2"/>
        <v>#REF!</v>
      </c>
      <c r="G7" s="8">
        <v>0</v>
      </c>
      <c r="H7" s="4"/>
      <c r="I7" s="4"/>
      <c r="J7" s="16" t="e">
        <f t="shared" si="0"/>
        <v>#REF!</v>
      </c>
      <c r="K7" s="16" t="e">
        <f t="shared" si="1"/>
        <v>#REF!</v>
      </c>
    </row>
    <row r="8" spans="1:11" x14ac:dyDescent="0.25">
      <c r="A8" s="4" t="s">
        <v>0</v>
      </c>
      <c r="B8" s="3">
        <v>41902</v>
      </c>
      <c r="C8" s="8">
        <v>1599</v>
      </c>
      <c r="D8" s="55" t="e">
        <f>#REF!+Predpisy_splatka!F8</f>
        <v>#REF!</v>
      </c>
      <c r="E8" s="26">
        <v>50</v>
      </c>
      <c r="F8" s="31" t="e">
        <f t="shared" si="2"/>
        <v>#REF!</v>
      </c>
      <c r="G8" s="8">
        <v>0</v>
      </c>
      <c r="H8" s="4"/>
      <c r="I8" s="4"/>
      <c r="J8" s="16" t="e">
        <f t="shared" si="0"/>
        <v>#REF!</v>
      </c>
      <c r="K8" s="16" t="e">
        <f t="shared" si="1"/>
        <v>#REF!</v>
      </c>
    </row>
    <row r="9" spans="1:11" x14ac:dyDescent="0.25">
      <c r="A9" s="21" t="s">
        <v>0</v>
      </c>
      <c r="B9" s="14">
        <v>41932</v>
      </c>
      <c r="C9" s="7">
        <v>1599</v>
      </c>
      <c r="D9" s="55" t="e">
        <f>#REF!+Predpisy_splatka!F9</f>
        <v>#REF!</v>
      </c>
      <c r="E9" s="26">
        <v>50</v>
      </c>
      <c r="F9" s="31" t="e">
        <f t="shared" si="2"/>
        <v>#REF!</v>
      </c>
      <c r="G9" s="7">
        <v>0</v>
      </c>
      <c r="H9" s="4"/>
      <c r="I9" s="4"/>
      <c r="J9" s="16" t="e">
        <f t="shared" si="0"/>
        <v>#REF!</v>
      </c>
      <c r="K9" s="16" t="e">
        <f t="shared" si="1"/>
        <v>#REF!</v>
      </c>
    </row>
    <row r="10" spans="1:11" x14ac:dyDescent="0.25">
      <c r="D10" s="54" t="e">
        <f>SUM(D4:D9)</f>
        <v>#REF!</v>
      </c>
    </row>
    <row r="12" spans="1:11" x14ac:dyDescent="0.25">
      <c r="A12" s="17" t="s">
        <v>57</v>
      </c>
    </row>
    <row r="13" spans="1:11" ht="43.5" customHeight="1" x14ac:dyDescent="0.25">
      <c r="A13" s="24" t="s">
        <v>49</v>
      </c>
      <c r="B13" s="24" t="s">
        <v>41</v>
      </c>
      <c r="C13" s="27" t="s">
        <v>60</v>
      </c>
      <c r="D13" s="49" t="s">
        <v>67</v>
      </c>
      <c r="E13" s="27" t="s">
        <v>61</v>
      </c>
      <c r="F13" s="28" t="s">
        <v>66</v>
      </c>
      <c r="G13" s="27" t="s">
        <v>62</v>
      </c>
      <c r="H13" s="24" t="s">
        <v>63</v>
      </c>
      <c r="I13" s="24" t="s">
        <v>64</v>
      </c>
      <c r="J13" s="23" t="s">
        <v>53</v>
      </c>
      <c r="K13" s="23" t="s">
        <v>54</v>
      </c>
    </row>
    <row r="14" spans="1:11" x14ac:dyDescent="0.25">
      <c r="A14" s="25" t="s">
        <v>65</v>
      </c>
      <c r="B14" s="29">
        <v>41735</v>
      </c>
      <c r="C14" s="30">
        <v>999</v>
      </c>
      <c r="D14" s="51" t="e">
        <f>ROUND(C14/J14,2)</f>
        <v>#REF!</v>
      </c>
      <c r="E14" s="30"/>
      <c r="F14" s="31" t="e">
        <f>ROUND(E14/K14,2)</f>
        <v>#REF!</v>
      </c>
      <c r="G14" s="30"/>
      <c r="H14" s="25"/>
      <c r="I14" s="25"/>
      <c r="J14" s="18" t="e">
        <f t="shared" ref="J14:J20" si="3">VLOOKUP(B14,maj,23,0)</f>
        <v>#REF!</v>
      </c>
      <c r="K14" s="18" t="e">
        <f t="shared" ref="K14:K20" si="4">VLOOKUP(B14,maj,24,0)</f>
        <v>#REF!</v>
      </c>
    </row>
    <row r="15" spans="1:11" s="37" customFormat="1" ht="15.75" thickBot="1" x14ac:dyDescent="0.3">
      <c r="A15" s="32" t="s">
        <v>0</v>
      </c>
      <c r="B15" s="38">
        <v>41779</v>
      </c>
      <c r="C15" s="34">
        <v>1599</v>
      </c>
      <c r="D15" s="60" t="e">
        <f>#REF!+Predpisy_splatka!F15</f>
        <v>#REF!</v>
      </c>
      <c r="E15" s="34">
        <v>50</v>
      </c>
      <c r="F15" s="35" t="e">
        <f t="shared" ref="F15:F20" si="5">ROUND(E15/K15,2)</f>
        <v>#REF!</v>
      </c>
      <c r="G15" s="34">
        <v>0</v>
      </c>
      <c r="H15" s="32"/>
      <c r="I15" s="32" t="s">
        <v>50</v>
      </c>
      <c r="J15" s="20" t="e">
        <f t="shared" si="3"/>
        <v>#REF!</v>
      </c>
      <c r="K15" s="20" t="e">
        <f t="shared" si="4"/>
        <v>#REF!</v>
      </c>
    </row>
    <row r="16" spans="1:11" ht="15.75" thickTop="1" x14ac:dyDescent="0.25">
      <c r="A16" s="13" t="s">
        <v>0</v>
      </c>
      <c r="B16" s="12">
        <v>41810</v>
      </c>
      <c r="C16" s="26">
        <v>1599</v>
      </c>
      <c r="D16" s="52" t="e">
        <f>#REF!+Predpisy_splatka!F16</f>
        <v>#REF!</v>
      </c>
      <c r="E16" s="26">
        <v>50</v>
      </c>
      <c r="F16" s="31" t="e">
        <f t="shared" ref="F16" si="6">ROUND(E16/K16,2)</f>
        <v>#REF!</v>
      </c>
      <c r="G16" s="26">
        <v>0</v>
      </c>
      <c r="H16" s="13"/>
      <c r="I16" s="13" t="s">
        <v>51</v>
      </c>
      <c r="J16" s="16" t="e">
        <f t="shared" si="3"/>
        <v>#REF!</v>
      </c>
      <c r="K16" s="16" t="e">
        <f t="shared" si="4"/>
        <v>#REF!</v>
      </c>
    </row>
    <row r="17" spans="1:11" x14ac:dyDescent="0.25">
      <c r="A17" s="4" t="s">
        <v>0</v>
      </c>
      <c r="B17" s="3">
        <v>41840</v>
      </c>
      <c r="C17" s="8">
        <v>1599</v>
      </c>
      <c r="D17" s="52" t="e">
        <f>#REF!+Predpisy_splatka!F17</f>
        <v>#REF!</v>
      </c>
      <c r="E17" s="8">
        <v>50</v>
      </c>
      <c r="F17" s="31" t="e">
        <f t="shared" si="5"/>
        <v>#REF!</v>
      </c>
      <c r="G17" s="8">
        <v>0</v>
      </c>
      <c r="H17" s="4"/>
      <c r="I17" s="4" t="s">
        <v>52</v>
      </c>
      <c r="J17" s="16" t="e">
        <f t="shared" si="3"/>
        <v>#REF!</v>
      </c>
      <c r="K17" s="16" t="e">
        <f t="shared" si="4"/>
        <v>#REF!</v>
      </c>
    </row>
    <row r="18" spans="1:11" x14ac:dyDescent="0.25">
      <c r="A18" s="4" t="s">
        <v>0</v>
      </c>
      <c r="B18" s="3">
        <v>41871</v>
      </c>
      <c r="C18" s="8">
        <v>1599</v>
      </c>
      <c r="D18" s="52" t="e">
        <f>#REF!+Predpisy_splatka!F18</f>
        <v>#REF!</v>
      </c>
      <c r="E18" s="8">
        <v>50</v>
      </c>
      <c r="F18" s="31" t="e">
        <f t="shared" si="5"/>
        <v>#REF!</v>
      </c>
      <c r="G18" s="8">
        <v>0</v>
      </c>
      <c r="H18" s="4"/>
      <c r="I18" s="4"/>
      <c r="J18" s="16" t="e">
        <f t="shared" si="3"/>
        <v>#REF!</v>
      </c>
      <c r="K18" s="16" t="e">
        <f t="shared" si="4"/>
        <v>#REF!</v>
      </c>
    </row>
    <row r="19" spans="1:11" x14ac:dyDescent="0.25">
      <c r="A19" s="4" t="s">
        <v>0</v>
      </c>
      <c r="B19" s="3">
        <v>41902</v>
      </c>
      <c r="C19" s="8">
        <v>1599</v>
      </c>
      <c r="D19" s="52" t="e">
        <f>#REF!+Predpisy_splatka!F19</f>
        <v>#REF!</v>
      </c>
      <c r="E19" s="8">
        <v>50</v>
      </c>
      <c r="F19" s="31" t="e">
        <f t="shared" si="5"/>
        <v>#REF!</v>
      </c>
      <c r="G19" s="8">
        <v>0</v>
      </c>
      <c r="H19" s="4"/>
      <c r="I19" s="4"/>
      <c r="J19" s="16" t="e">
        <f t="shared" si="3"/>
        <v>#REF!</v>
      </c>
      <c r="K19" s="16" t="e">
        <f t="shared" si="4"/>
        <v>#REF!</v>
      </c>
    </row>
    <row r="20" spans="1:11" x14ac:dyDescent="0.25">
      <c r="A20" s="21" t="s">
        <v>0</v>
      </c>
      <c r="B20" s="14">
        <v>41932</v>
      </c>
      <c r="C20" s="7">
        <v>1599</v>
      </c>
      <c r="D20" s="52" t="e">
        <f>#REF!+Predpisy_splatka!F20</f>
        <v>#REF!</v>
      </c>
      <c r="E20" s="7">
        <v>50</v>
      </c>
      <c r="F20" s="31" t="e">
        <f t="shared" si="5"/>
        <v>#REF!</v>
      </c>
      <c r="G20" s="7">
        <v>0</v>
      </c>
      <c r="H20" s="4"/>
      <c r="I20" s="4"/>
      <c r="J20" s="16" t="e">
        <f t="shared" si="3"/>
        <v>#REF!</v>
      </c>
      <c r="K20" s="16" t="e">
        <f t="shared" si="4"/>
        <v>#REF!</v>
      </c>
    </row>
    <row r="21" spans="1:11" x14ac:dyDescent="0.25">
      <c r="D21" s="54" t="e">
        <f>SUM(D15:D20)</f>
        <v>#REF!</v>
      </c>
    </row>
    <row r="23" spans="1:11" x14ac:dyDescent="0.25">
      <c r="A23" s="17" t="s">
        <v>58</v>
      </c>
    </row>
    <row r="24" spans="1:11" ht="43.5" customHeight="1" x14ac:dyDescent="0.25">
      <c r="A24" s="24" t="s">
        <v>49</v>
      </c>
      <c r="B24" s="24" t="s">
        <v>41</v>
      </c>
      <c r="C24" s="27" t="s">
        <v>60</v>
      </c>
      <c r="D24" s="49" t="s">
        <v>67</v>
      </c>
      <c r="E24" s="27" t="s">
        <v>61</v>
      </c>
      <c r="F24" s="28" t="s">
        <v>66</v>
      </c>
      <c r="G24" s="27" t="s">
        <v>62</v>
      </c>
      <c r="H24" s="24" t="s">
        <v>63</v>
      </c>
      <c r="I24" s="24" t="s">
        <v>64</v>
      </c>
      <c r="J24" s="23" t="s">
        <v>53</v>
      </c>
      <c r="K24" s="23" t="s">
        <v>54</v>
      </c>
    </row>
    <row r="25" spans="1:11" x14ac:dyDescent="0.25">
      <c r="A25" s="25" t="s">
        <v>65</v>
      </c>
      <c r="B25" s="29">
        <v>41735</v>
      </c>
      <c r="C25" s="30">
        <v>999</v>
      </c>
      <c r="D25" s="51" t="e">
        <f>ROUND(C25/J25,2)</f>
        <v>#REF!</v>
      </c>
      <c r="E25" s="30"/>
      <c r="F25" s="31" t="e">
        <f>ROUND(E25/K25,2)</f>
        <v>#REF!</v>
      </c>
      <c r="G25" s="30"/>
      <c r="H25" s="25"/>
      <c r="I25" s="25"/>
      <c r="J25" s="18" t="e">
        <f t="shared" ref="J25:J31" si="7">VLOOKUP(B25,jun,23,0)</f>
        <v>#REF!</v>
      </c>
      <c r="K25" s="18" t="e">
        <f t="shared" ref="K25:K31" si="8">VLOOKUP(B25,jun,24,0)</f>
        <v>#REF!</v>
      </c>
    </row>
    <row r="26" spans="1:11" x14ac:dyDescent="0.25">
      <c r="A26" s="25" t="s">
        <v>0</v>
      </c>
      <c r="B26" s="36">
        <v>41779</v>
      </c>
      <c r="C26" s="30">
        <v>1599</v>
      </c>
      <c r="D26" s="56" t="e">
        <f>#REF!+Predpisy_splatka!F26</f>
        <v>#REF!</v>
      </c>
      <c r="E26" s="30">
        <v>50</v>
      </c>
      <c r="F26" s="31" t="e">
        <f t="shared" ref="F26:F31" si="9">ROUND(E26/K26,2)</f>
        <v>#REF!</v>
      </c>
      <c r="G26" s="30">
        <v>0</v>
      </c>
      <c r="H26" s="25"/>
      <c r="I26" s="25" t="s">
        <v>50</v>
      </c>
      <c r="J26" s="18" t="e">
        <f t="shared" si="7"/>
        <v>#REF!</v>
      </c>
      <c r="K26" s="18" t="e">
        <f t="shared" si="8"/>
        <v>#REF!</v>
      </c>
    </row>
    <row r="27" spans="1:11" ht="15.75" thickBot="1" x14ac:dyDescent="0.3">
      <c r="A27" s="32" t="s">
        <v>0</v>
      </c>
      <c r="B27" s="38">
        <v>41810</v>
      </c>
      <c r="C27" s="34">
        <v>1599</v>
      </c>
      <c r="D27" s="61" t="e">
        <f>#REF!+Predpisy_splatka!F27</f>
        <v>#REF!</v>
      </c>
      <c r="E27" s="34">
        <v>50</v>
      </c>
      <c r="F27" s="35" t="e">
        <f t="shared" si="9"/>
        <v>#REF!</v>
      </c>
      <c r="G27" s="34">
        <v>0</v>
      </c>
      <c r="H27" s="32"/>
      <c r="I27" s="32" t="s">
        <v>51</v>
      </c>
      <c r="J27" s="20" t="e">
        <f t="shared" si="7"/>
        <v>#REF!</v>
      </c>
      <c r="K27" s="20" t="e">
        <f t="shared" si="8"/>
        <v>#REF!</v>
      </c>
    </row>
    <row r="28" spans="1:11" ht="15.75" thickTop="1" x14ac:dyDescent="0.25">
      <c r="A28" s="13" t="s">
        <v>0</v>
      </c>
      <c r="B28" s="12">
        <v>41840</v>
      </c>
      <c r="C28" s="26">
        <v>1599</v>
      </c>
      <c r="D28" s="52" t="e">
        <f>#REF!+Predpisy_splatka!F28</f>
        <v>#REF!</v>
      </c>
      <c r="E28" s="26">
        <v>50</v>
      </c>
      <c r="F28" s="31" t="e">
        <f t="shared" si="9"/>
        <v>#REF!</v>
      </c>
      <c r="G28" s="26">
        <v>0</v>
      </c>
      <c r="H28" s="13"/>
      <c r="I28" s="13" t="s">
        <v>52</v>
      </c>
      <c r="J28" s="16" t="e">
        <f t="shared" si="7"/>
        <v>#REF!</v>
      </c>
      <c r="K28" s="16" t="e">
        <f t="shared" si="8"/>
        <v>#REF!</v>
      </c>
    </row>
    <row r="29" spans="1:11" x14ac:dyDescent="0.25">
      <c r="A29" s="4" t="s">
        <v>0</v>
      </c>
      <c r="B29" s="3">
        <v>41871</v>
      </c>
      <c r="C29" s="8">
        <v>1599</v>
      </c>
      <c r="D29" s="52" t="e">
        <f>#REF!+Predpisy_splatka!F29</f>
        <v>#REF!</v>
      </c>
      <c r="E29" s="8">
        <v>50</v>
      </c>
      <c r="F29" s="31" t="e">
        <f t="shared" si="9"/>
        <v>#REF!</v>
      </c>
      <c r="G29" s="8">
        <v>0</v>
      </c>
      <c r="H29" s="4"/>
      <c r="I29" s="4"/>
      <c r="J29" s="16" t="e">
        <f t="shared" si="7"/>
        <v>#REF!</v>
      </c>
      <c r="K29" s="16" t="e">
        <f t="shared" si="8"/>
        <v>#REF!</v>
      </c>
    </row>
    <row r="30" spans="1:11" x14ac:dyDescent="0.25">
      <c r="A30" s="4" t="s">
        <v>0</v>
      </c>
      <c r="B30" s="3">
        <v>41902</v>
      </c>
      <c r="C30" s="8">
        <v>1599</v>
      </c>
      <c r="D30" s="52" t="e">
        <f>#REF!+Predpisy_splatka!F30</f>
        <v>#REF!</v>
      </c>
      <c r="E30" s="8">
        <v>50</v>
      </c>
      <c r="F30" s="31" t="e">
        <f t="shared" si="9"/>
        <v>#REF!</v>
      </c>
      <c r="G30" s="8">
        <v>0</v>
      </c>
      <c r="H30" s="4"/>
      <c r="I30" s="4"/>
      <c r="J30" s="16" t="e">
        <f t="shared" si="7"/>
        <v>#REF!</v>
      </c>
      <c r="K30" s="16" t="e">
        <f t="shared" si="8"/>
        <v>#REF!</v>
      </c>
    </row>
    <row r="31" spans="1:11" x14ac:dyDescent="0.25">
      <c r="A31" s="21" t="s">
        <v>0</v>
      </c>
      <c r="B31" s="14">
        <v>41932</v>
      </c>
      <c r="C31" s="7">
        <v>1599</v>
      </c>
      <c r="D31" s="52" t="e">
        <f>#REF!+Predpisy_splatka!F31</f>
        <v>#REF!</v>
      </c>
      <c r="E31" s="7">
        <v>50</v>
      </c>
      <c r="F31" s="31" t="e">
        <f t="shared" si="9"/>
        <v>#REF!</v>
      </c>
      <c r="G31" s="7">
        <v>0</v>
      </c>
      <c r="H31" s="4"/>
      <c r="I31" s="4"/>
      <c r="J31" s="16" t="e">
        <f t="shared" si="7"/>
        <v>#REF!</v>
      </c>
      <c r="K31" s="16" t="e">
        <f t="shared" si="8"/>
        <v>#REF!</v>
      </c>
    </row>
    <row r="32" spans="1:11" x14ac:dyDescent="0.25">
      <c r="D32" s="54" t="e">
        <f>SUM(D26:D31)</f>
        <v>#REF!</v>
      </c>
    </row>
    <row r="34" spans="1:11" x14ac:dyDescent="0.25">
      <c r="A34" s="17" t="s">
        <v>59</v>
      </c>
    </row>
    <row r="35" spans="1:11" ht="43.5" customHeight="1" x14ac:dyDescent="0.25">
      <c r="A35" s="24" t="s">
        <v>49</v>
      </c>
      <c r="B35" s="24" t="s">
        <v>41</v>
      </c>
      <c r="C35" s="27" t="s">
        <v>60</v>
      </c>
      <c r="D35" s="49" t="s">
        <v>67</v>
      </c>
      <c r="E35" s="27" t="s">
        <v>61</v>
      </c>
      <c r="F35" s="28" t="s">
        <v>66</v>
      </c>
      <c r="G35" s="27" t="s">
        <v>62</v>
      </c>
      <c r="H35" s="24" t="s">
        <v>63</v>
      </c>
      <c r="I35" s="24" t="s">
        <v>64</v>
      </c>
      <c r="J35" s="23" t="s">
        <v>53</v>
      </c>
      <c r="K35" s="23" t="s">
        <v>54</v>
      </c>
    </row>
    <row r="36" spans="1:11" x14ac:dyDescent="0.25">
      <c r="A36" s="25" t="s">
        <v>65</v>
      </c>
      <c r="B36" s="29">
        <v>41735</v>
      </c>
      <c r="C36" s="30">
        <v>999</v>
      </c>
      <c r="D36" s="51" t="e">
        <f>ROUND(C36/J36,2)</f>
        <v>#REF!</v>
      </c>
      <c r="E36" s="30"/>
      <c r="F36" s="31" t="e">
        <f>ROUND(E36/K36,2)</f>
        <v>#REF!</v>
      </c>
      <c r="G36" s="30"/>
      <c r="H36" s="25"/>
      <c r="I36" s="25"/>
      <c r="J36" s="18" t="e">
        <f t="shared" ref="J36:J42" si="10">VLOOKUP(B36,jul,23,0)</f>
        <v>#REF!</v>
      </c>
      <c r="K36" s="18" t="e">
        <f t="shared" ref="K36:K42" si="11">VLOOKUP(B36,jul,24,0)</f>
        <v>#REF!</v>
      </c>
    </row>
    <row r="37" spans="1:11" x14ac:dyDescent="0.25">
      <c r="A37" s="25" t="s">
        <v>0</v>
      </c>
      <c r="B37" s="36">
        <v>41779</v>
      </c>
      <c r="C37" s="30">
        <v>1599</v>
      </c>
      <c r="D37" s="56" t="e">
        <f>#REF!+Predpisy_splatka!F37</f>
        <v>#REF!</v>
      </c>
      <c r="E37" s="30">
        <v>50</v>
      </c>
      <c r="F37" s="31" t="e">
        <f t="shared" ref="F37:F42" si="12">ROUND(E37/K37,2)</f>
        <v>#REF!</v>
      </c>
      <c r="G37" s="30">
        <v>0</v>
      </c>
      <c r="H37" s="25"/>
      <c r="I37" s="25" t="s">
        <v>50</v>
      </c>
      <c r="J37" s="18" t="e">
        <f t="shared" si="10"/>
        <v>#REF!</v>
      </c>
      <c r="K37" s="18" t="e">
        <f t="shared" si="11"/>
        <v>#REF!</v>
      </c>
    </row>
    <row r="38" spans="1:11" x14ac:dyDescent="0.25">
      <c r="A38" s="25" t="s">
        <v>0</v>
      </c>
      <c r="B38" s="36">
        <v>41810</v>
      </c>
      <c r="C38" s="30">
        <v>1599</v>
      </c>
      <c r="D38" s="51" t="e">
        <f>#REF!+Predpisy_splatka!F38</f>
        <v>#REF!</v>
      </c>
      <c r="E38" s="30">
        <v>50</v>
      </c>
      <c r="F38" s="31" t="e">
        <f t="shared" si="12"/>
        <v>#REF!</v>
      </c>
      <c r="G38" s="30">
        <v>0</v>
      </c>
      <c r="H38" s="25"/>
      <c r="I38" s="25" t="s">
        <v>51</v>
      </c>
      <c r="J38" s="16" t="e">
        <f t="shared" si="10"/>
        <v>#REF!</v>
      </c>
      <c r="K38" s="16" t="e">
        <f t="shared" si="11"/>
        <v>#REF!</v>
      </c>
    </row>
    <row r="39" spans="1:11" ht="15.75" thickBot="1" x14ac:dyDescent="0.3">
      <c r="A39" s="39" t="s">
        <v>0</v>
      </c>
      <c r="B39" s="40">
        <v>41840</v>
      </c>
      <c r="C39" s="41">
        <v>1599</v>
      </c>
      <c r="D39" s="53" t="e">
        <f>#REF!+Predpisy_splatka!F39</f>
        <v>#REF!</v>
      </c>
      <c r="E39" s="41">
        <v>50</v>
      </c>
      <c r="F39" s="35" t="e">
        <f t="shared" si="12"/>
        <v>#REF!</v>
      </c>
      <c r="G39" s="41">
        <v>0</v>
      </c>
      <c r="H39" s="39"/>
      <c r="I39" s="39" t="s">
        <v>52</v>
      </c>
      <c r="J39" s="20" t="e">
        <f t="shared" si="10"/>
        <v>#REF!</v>
      </c>
      <c r="K39" s="20" t="e">
        <f t="shared" si="11"/>
        <v>#REF!</v>
      </c>
    </row>
    <row r="40" spans="1:11" ht="15.75" thickTop="1" x14ac:dyDescent="0.25">
      <c r="A40" s="13" t="s">
        <v>0</v>
      </c>
      <c r="B40" s="12">
        <v>41871</v>
      </c>
      <c r="C40" s="26">
        <v>1599</v>
      </c>
      <c r="D40" s="52" t="e">
        <f>#REF!+Predpisy_splatka!F40</f>
        <v>#REF!</v>
      </c>
      <c r="E40" s="26">
        <v>50</v>
      </c>
      <c r="F40" s="31" t="e">
        <f t="shared" si="12"/>
        <v>#REF!</v>
      </c>
      <c r="G40" s="26">
        <v>0</v>
      </c>
      <c r="H40" s="13"/>
      <c r="I40" s="13"/>
      <c r="J40" s="16" t="e">
        <f t="shared" si="10"/>
        <v>#REF!</v>
      </c>
      <c r="K40" s="16" t="e">
        <f t="shared" si="11"/>
        <v>#REF!</v>
      </c>
    </row>
    <row r="41" spans="1:11" x14ac:dyDescent="0.25">
      <c r="A41" s="4" t="s">
        <v>0</v>
      </c>
      <c r="B41" s="3">
        <v>41902</v>
      </c>
      <c r="C41" s="8">
        <v>1599</v>
      </c>
      <c r="D41" s="52" t="e">
        <f>#REF!+Predpisy_splatka!F41</f>
        <v>#REF!</v>
      </c>
      <c r="E41" s="8">
        <v>50</v>
      </c>
      <c r="F41" s="31" t="e">
        <f t="shared" si="12"/>
        <v>#REF!</v>
      </c>
      <c r="G41" s="8">
        <v>0</v>
      </c>
      <c r="H41" s="4"/>
      <c r="I41" s="4"/>
      <c r="J41" s="16" t="e">
        <f t="shared" si="10"/>
        <v>#REF!</v>
      </c>
      <c r="K41" s="16" t="e">
        <f t="shared" si="11"/>
        <v>#REF!</v>
      </c>
    </row>
    <row r="42" spans="1:11" x14ac:dyDescent="0.25">
      <c r="A42" s="21" t="s">
        <v>0</v>
      </c>
      <c r="B42" s="14">
        <v>41932</v>
      </c>
      <c r="C42" s="7">
        <v>1599</v>
      </c>
      <c r="D42" s="52" t="e">
        <f>#REF!+Predpisy_splatka!F42</f>
        <v>#REF!</v>
      </c>
      <c r="E42" s="7">
        <v>50</v>
      </c>
      <c r="F42" s="31" t="e">
        <f t="shared" si="12"/>
        <v>#REF!</v>
      </c>
      <c r="G42" s="7">
        <v>0</v>
      </c>
      <c r="H42" s="4"/>
      <c r="I42" s="4"/>
      <c r="J42" s="16" t="e">
        <f t="shared" si="10"/>
        <v>#REF!</v>
      </c>
      <c r="K42" s="16" t="e">
        <f t="shared" si="11"/>
        <v>#REF!</v>
      </c>
    </row>
    <row r="43" spans="1:11" x14ac:dyDescent="0.25">
      <c r="D43" s="54" t="e">
        <f>SUM(D37:D42)</f>
        <v>#REF!</v>
      </c>
    </row>
    <row r="46" spans="1:11" x14ac:dyDescent="0.25">
      <c r="A46" s="17" t="s">
        <v>68</v>
      </c>
    </row>
    <row r="47" spans="1:11" ht="43.5" customHeight="1" x14ac:dyDescent="0.25">
      <c r="A47" s="24" t="s">
        <v>49</v>
      </c>
      <c r="B47" s="24" t="s">
        <v>41</v>
      </c>
      <c r="C47" s="27" t="s">
        <v>60</v>
      </c>
      <c r="D47" s="49" t="s">
        <v>67</v>
      </c>
      <c r="E47" s="27" t="s">
        <v>61</v>
      </c>
      <c r="F47" s="28" t="s">
        <v>66</v>
      </c>
      <c r="G47" s="27" t="s">
        <v>62</v>
      </c>
      <c r="H47" s="24" t="s">
        <v>63</v>
      </c>
      <c r="I47" s="24" t="s">
        <v>64</v>
      </c>
      <c r="J47" s="23" t="s">
        <v>53</v>
      </c>
      <c r="K47" s="23" t="s">
        <v>54</v>
      </c>
    </row>
    <row r="48" spans="1:11" x14ac:dyDescent="0.25">
      <c r="A48" s="25" t="s">
        <v>65</v>
      </c>
      <c r="B48" s="29">
        <v>41735.476504629602</v>
      </c>
      <c r="C48" s="30">
        <v>999</v>
      </c>
      <c r="D48" s="51">
        <f>ROUND(C48/J48,2)</f>
        <v>36.42</v>
      </c>
      <c r="E48" s="30"/>
      <c r="F48" s="31">
        <f>ROUND(E48/K48,2)</f>
        <v>0</v>
      </c>
      <c r="G48" s="30"/>
      <c r="H48" s="25"/>
      <c r="I48" s="25"/>
      <c r="J48" s="18">
        <v>27.428999999999998</v>
      </c>
      <c r="K48" s="18">
        <v>27.428999999999998</v>
      </c>
    </row>
    <row r="49" spans="1:11" x14ac:dyDescent="0.25">
      <c r="A49" s="25" t="s">
        <v>0</v>
      </c>
      <c r="B49" s="36">
        <v>41779</v>
      </c>
      <c r="C49" s="30">
        <v>1599</v>
      </c>
      <c r="D49" s="56" t="e">
        <f>#REF!+Predpisy_splatka!F49</f>
        <v>#REF!</v>
      </c>
      <c r="E49" s="30">
        <v>0</v>
      </c>
      <c r="F49" s="31">
        <f t="shared" ref="F49:F54" si="13">ROUND(E49/K49,2)</f>
        <v>0</v>
      </c>
      <c r="G49" s="30">
        <v>0</v>
      </c>
      <c r="H49" s="25"/>
      <c r="I49" s="25" t="s">
        <v>50</v>
      </c>
      <c r="J49" s="18">
        <v>27.428999999999998</v>
      </c>
      <c r="K49" s="18">
        <v>27.474</v>
      </c>
    </row>
    <row r="50" spans="1:11" x14ac:dyDescent="0.25">
      <c r="A50" s="25" t="s">
        <v>0</v>
      </c>
      <c r="B50" s="36">
        <v>41810</v>
      </c>
      <c r="C50" s="30">
        <v>1599</v>
      </c>
      <c r="D50" s="51" t="e">
        <f>#REF!+Predpisy_splatka!F50</f>
        <v>#REF!</v>
      </c>
      <c r="E50" s="30">
        <v>0</v>
      </c>
      <c r="F50" s="31">
        <f t="shared" si="13"/>
        <v>0</v>
      </c>
      <c r="G50" s="30">
        <v>0</v>
      </c>
      <c r="H50" s="25"/>
      <c r="I50" s="25" t="s">
        <v>51</v>
      </c>
      <c r="J50" s="16">
        <v>27.428999999999998</v>
      </c>
      <c r="K50" s="16">
        <v>27.459</v>
      </c>
    </row>
    <row r="51" spans="1:11" s="37" customFormat="1" x14ac:dyDescent="0.25">
      <c r="A51" s="25" t="s">
        <v>0</v>
      </c>
      <c r="B51" s="36">
        <v>41840</v>
      </c>
      <c r="C51" s="30">
        <v>1599</v>
      </c>
      <c r="D51" s="51" t="e">
        <f>#REF!+Predpisy_splatka!F51</f>
        <v>#REF!</v>
      </c>
      <c r="E51" s="30">
        <v>0</v>
      </c>
      <c r="F51" s="31">
        <f t="shared" si="13"/>
        <v>0</v>
      </c>
      <c r="G51" s="30">
        <v>0</v>
      </c>
      <c r="H51" s="25"/>
      <c r="I51" s="25" t="s">
        <v>52</v>
      </c>
      <c r="J51" s="18">
        <v>27.428999999999998</v>
      </c>
      <c r="K51" s="18">
        <v>27.49</v>
      </c>
    </row>
    <row r="52" spans="1:11" ht="15.75" thickBot="1" x14ac:dyDescent="0.3">
      <c r="A52" s="39" t="s">
        <v>0</v>
      </c>
      <c r="B52" s="40">
        <v>41871</v>
      </c>
      <c r="C52" s="41">
        <v>1599</v>
      </c>
      <c r="D52" s="53" t="e">
        <f>#REF!+Predpisy_splatka!F52</f>
        <v>#REF!</v>
      </c>
      <c r="E52" s="41">
        <v>0</v>
      </c>
      <c r="F52" s="35">
        <f t="shared" si="13"/>
        <v>0</v>
      </c>
      <c r="G52" s="41">
        <v>0</v>
      </c>
      <c r="H52" s="39"/>
      <c r="I52" s="65" t="s">
        <v>72</v>
      </c>
      <c r="J52" s="20">
        <v>27.428999999999998</v>
      </c>
      <c r="K52" s="20">
        <v>28.004000000000001</v>
      </c>
    </row>
    <row r="53" spans="1:11" ht="15.75" thickTop="1" x14ac:dyDescent="0.25">
      <c r="A53" s="13" t="s">
        <v>0</v>
      </c>
      <c r="B53" s="12">
        <v>41902</v>
      </c>
      <c r="C53" s="26">
        <v>1599</v>
      </c>
      <c r="D53" s="52" t="e">
        <f>#REF!+Predpisy_splatka!F53</f>
        <v>#REF!</v>
      </c>
      <c r="E53" s="26">
        <v>0</v>
      </c>
      <c r="F53" s="31">
        <f t="shared" si="13"/>
        <v>0</v>
      </c>
      <c r="G53" s="26">
        <v>0</v>
      </c>
      <c r="H53" s="13"/>
      <c r="I53" s="13"/>
      <c r="J53" s="16">
        <v>27.428999999999998</v>
      </c>
      <c r="K53" s="16">
        <v>27.428999999999998</v>
      </c>
    </row>
    <row r="54" spans="1:11" x14ac:dyDescent="0.25">
      <c r="A54" s="21" t="s">
        <v>0</v>
      </c>
      <c r="B54" s="14">
        <v>41932</v>
      </c>
      <c r="C54" s="7">
        <v>1599</v>
      </c>
      <c r="D54" s="52" t="e">
        <f>#REF!+Predpisy_splatka!F54</f>
        <v>#REF!</v>
      </c>
      <c r="E54" s="7">
        <v>0</v>
      </c>
      <c r="F54" s="31">
        <f t="shared" si="13"/>
        <v>0</v>
      </c>
      <c r="G54" s="7">
        <v>0</v>
      </c>
      <c r="H54" s="4"/>
      <c r="I54" s="4"/>
      <c r="J54" s="16">
        <v>27.428999999999998</v>
      </c>
      <c r="K54" s="16">
        <v>27.428999999999998</v>
      </c>
    </row>
    <row r="55" spans="1:11" x14ac:dyDescent="0.25">
      <c r="D55" s="54" t="e">
        <f>SUM(D49:D54)</f>
        <v>#REF!</v>
      </c>
    </row>
    <row r="58" spans="1:11" x14ac:dyDescent="0.25">
      <c r="A58" s="17" t="s">
        <v>69</v>
      </c>
    </row>
    <row r="59" spans="1:11" ht="43.5" customHeight="1" x14ac:dyDescent="0.25">
      <c r="A59" s="24" t="s">
        <v>49</v>
      </c>
      <c r="B59" s="24" t="s">
        <v>41</v>
      </c>
      <c r="C59" s="27" t="s">
        <v>60</v>
      </c>
      <c r="D59" s="49" t="s">
        <v>67</v>
      </c>
      <c r="E59" s="27" t="s">
        <v>61</v>
      </c>
      <c r="F59" s="28" t="s">
        <v>66</v>
      </c>
      <c r="G59" s="27" t="s">
        <v>62</v>
      </c>
      <c r="H59" s="24" t="s">
        <v>63</v>
      </c>
      <c r="I59" s="24" t="s">
        <v>64</v>
      </c>
      <c r="J59" s="23" t="s">
        <v>53</v>
      </c>
      <c r="K59" s="23" t="s">
        <v>54</v>
      </c>
    </row>
    <row r="60" spans="1:11" x14ac:dyDescent="0.25">
      <c r="A60" s="25" t="s">
        <v>65</v>
      </c>
      <c r="B60" s="29">
        <v>41735.476504629602</v>
      </c>
      <c r="C60" s="30">
        <v>999</v>
      </c>
      <c r="D60" s="51">
        <f>ROUND(C60/J60,2)</f>
        <v>36.42</v>
      </c>
      <c r="E60" s="30"/>
      <c r="F60" s="31">
        <f>ROUND(E60/K60,2)</f>
        <v>0</v>
      </c>
      <c r="G60" s="30"/>
      <c r="H60" s="25"/>
      <c r="I60" s="25"/>
      <c r="J60" s="18">
        <v>27.428999999999998</v>
      </c>
      <c r="K60" s="18">
        <v>27.428999999999998</v>
      </c>
    </row>
    <row r="61" spans="1:11" x14ac:dyDescent="0.25">
      <c r="A61" s="25" t="s">
        <v>0</v>
      </c>
      <c r="B61" s="36">
        <v>41779</v>
      </c>
      <c r="C61" s="30">
        <v>1599</v>
      </c>
      <c r="D61" s="56" t="e">
        <f>#REF!+Predpisy_splatka!F61</f>
        <v>#REF!</v>
      </c>
      <c r="E61" s="30">
        <v>0</v>
      </c>
      <c r="F61" s="31">
        <f t="shared" ref="F61:F66" si="14">ROUND(E61/K61,2)</f>
        <v>0</v>
      </c>
      <c r="G61" s="30">
        <v>0</v>
      </c>
      <c r="H61" s="25"/>
      <c r="I61" s="25" t="s">
        <v>50</v>
      </c>
      <c r="J61" s="18">
        <v>27.428999999999998</v>
      </c>
      <c r="K61" s="18">
        <v>27.474</v>
      </c>
    </row>
    <row r="62" spans="1:11" x14ac:dyDescent="0.25">
      <c r="A62" s="25" t="s">
        <v>0</v>
      </c>
      <c r="B62" s="36">
        <v>41810</v>
      </c>
      <c r="C62" s="30">
        <v>1599</v>
      </c>
      <c r="D62" s="51" t="e">
        <f>#REF!+Predpisy_splatka!F62</f>
        <v>#REF!</v>
      </c>
      <c r="E62" s="30">
        <v>0</v>
      </c>
      <c r="F62" s="31">
        <f t="shared" si="14"/>
        <v>0</v>
      </c>
      <c r="G62" s="30">
        <v>0</v>
      </c>
      <c r="H62" s="25"/>
      <c r="I62" s="25" t="s">
        <v>51</v>
      </c>
      <c r="J62" s="16">
        <v>27.428999999999998</v>
      </c>
      <c r="K62" s="16">
        <v>27.459</v>
      </c>
    </row>
    <row r="63" spans="1:11" s="37" customFormat="1" x14ac:dyDescent="0.25">
      <c r="A63" s="25" t="s">
        <v>0</v>
      </c>
      <c r="B63" s="36">
        <v>41840</v>
      </c>
      <c r="C63" s="30">
        <v>1599</v>
      </c>
      <c r="D63" s="51" t="e">
        <f>#REF!+Predpisy_splatka!F63</f>
        <v>#REF!</v>
      </c>
      <c r="E63" s="30">
        <v>0</v>
      </c>
      <c r="F63" s="31">
        <f t="shared" si="14"/>
        <v>0</v>
      </c>
      <c r="G63" s="30">
        <v>0</v>
      </c>
      <c r="H63" s="25"/>
      <c r="I63" s="25" t="s">
        <v>52</v>
      </c>
      <c r="J63" s="18">
        <v>27.428999999999998</v>
      </c>
      <c r="K63" s="18">
        <v>27.49</v>
      </c>
    </row>
    <row r="64" spans="1:11" s="37" customFormat="1" x14ac:dyDescent="0.25">
      <c r="A64" s="25" t="s">
        <v>0</v>
      </c>
      <c r="B64" s="36">
        <v>41871</v>
      </c>
      <c r="C64" s="30">
        <v>1599</v>
      </c>
      <c r="D64" s="51" t="e">
        <f>#REF!+Predpisy_splatka!F64</f>
        <v>#REF!</v>
      </c>
      <c r="E64" s="30">
        <v>0</v>
      </c>
      <c r="F64" s="31">
        <f t="shared" si="14"/>
        <v>0</v>
      </c>
      <c r="G64" s="30">
        <v>0</v>
      </c>
      <c r="H64" s="25"/>
      <c r="I64" s="66" t="s">
        <v>72</v>
      </c>
      <c r="J64" s="18">
        <v>27.428999999999998</v>
      </c>
      <c r="K64" s="18">
        <v>28.004000000000001</v>
      </c>
    </row>
    <row r="65" spans="1:11" ht="15.75" thickBot="1" x14ac:dyDescent="0.3">
      <c r="A65" s="39" t="s">
        <v>0</v>
      </c>
      <c r="B65" s="40">
        <v>41902</v>
      </c>
      <c r="C65" s="41">
        <v>1599</v>
      </c>
      <c r="D65" s="53" t="e">
        <f>#REF!+Predpisy_splatka!F65</f>
        <v>#REF!</v>
      </c>
      <c r="E65" s="41">
        <v>0</v>
      </c>
      <c r="F65" s="35">
        <f t="shared" si="14"/>
        <v>0</v>
      </c>
      <c r="G65" s="41">
        <v>0</v>
      </c>
      <c r="H65" s="39"/>
      <c r="I65" s="65" t="s">
        <v>73</v>
      </c>
      <c r="J65" s="20">
        <v>27.428999999999998</v>
      </c>
      <c r="K65" s="20">
        <v>27.428999999999998</v>
      </c>
    </row>
    <row r="66" spans="1:11" ht="15.75" thickTop="1" x14ac:dyDescent="0.25">
      <c r="A66" s="62" t="s">
        <v>0</v>
      </c>
      <c r="B66" s="63">
        <v>41932</v>
      </c>
      <c r="C66" s="64">
        <v>1599</v>
      </c>
      <c r="D66" s="52" t="e">
        <f>#REF!+Predpisy_splatka!F66</f>
        <v>#REF!</v>
      </c>
      <c r="E66" s="64">
        <v>0</v>
      </c>
      <c r="F66" s="31">
        <f t="shared" si="14"/>
        <v>0</v>
      </c>
      <c r="G66" s="64">
        <v>0</v>
      </c>
      <c r="H66" s="13"/>
      <c r="I66" s="13"/>
      <c r="J66" s="16">
        <v>27.428999999999998</v>
      </c>
      <c r="K66" s="16">
        <v>27.428999999999998</v>
      </c>
    </row>
    <row r="67" spans="1:11" x14ac:dyDescent="0.25">
      <c r="D67" s="54" t="e">
        <f>SUM(D61:D66)</f>
        <v>#REF!</v>
      </c>
    </row>
    <row r="70" spans="1:11" x14ac:dyDescent="0.25">
      <c r="A70" s="17" t="s">
        <v>71</v>
      </c>
    </row>
    <row r="71" spans="1:11" ht="43.5" customHeight="1" x14ac:dyDescent="0.25">
      <c r="A71" s="24" t="s">
        <v>49</v>
      </c>
      <c r="B71" s="24" t="s">
        <v>41</v>
      </c>
      <c r="C71" s="27" t="s">
        <v>60</v>
      </c>
      <c r="D71" s="49" t="s">
        <v>67</v>
      </c>
      <c r="E71" s="27" t="s">
        <v>61</v>
      </c>
      <c r="F71" s="28" t="s">
        <v>66</v>
      </c>
      <c r="G71" s="27" t="s">
        <v>62</v>
      </c>
      <c r="H71" s="24" t="s">
        <v>63</v>
      </c>
      <c r="I71" s="24" t="s">
        <v>64</v>
      </c>
      <c r="J71" s="23" t="s">
        <v>53</v>
      </c>
      <c r="K71" s="23" t="s">
        <v>54</v>
      </c>
    </row>
    <row r="72" spans="1:11" x14ac:dyDescent="0.25">
      <c r="A72" s="25" t="s">
        <v>65</v>
      </c>
      <c r="B72" s="29">
        <v>41735.476504629602</v>
      </c>
      <c r="C72" s="30">
        <v>999</v>
      </c>
      <c r="D72" s="51">
        <f>ROUND(C72/J72,2)</f>
        <v>36.42</v>
      </c>
      <c r="E72" s="30"/>
      <c r="F72" s="31">
        <f>ROUND(E72/K72,2)</f>
        <v>0</v>
      </c>
      <c r="G72" s="30"/>
      <c r="H72" s="25"/>
      <c r="I72" s="25"/>
      <c r="J72" s="18">
        <v>27.428999999999998</v>
      </c>
      <c r="K72" s="18">
        <v>27.428999999999998</v>
      </c>
    </row>
    <row r="73" spans="1:11" x14ac:dyDescent="0.25">
      <c r="A73" s="25" t="s">
        <v>0</v>
      </c>
      <c r="B73" s="36">
        <v>41779</v>
      </c>
      <c r="C73" s="30">
        <v>1599</v>
      </c>
      <c r="D73" s="56" t="e">
        <f>#REF!+Predpisy_splatka!F73</f>
        <v>#REF!</v>
      </c>
      <c r="E73" s="30">
        <v>0</v>
      </c>
      <c r="F73" s="31">
        <f t="shared" ref="F73:F78" si="15">ROUND(E73/K73,2)</f>
        <v>0</v>
      </c>
      <c r="G73" s="30">
        <v>0</v>
      </c>
      <c r="H73" s="25"/>
      <c r="I73" s="25" t="s">
        <v>50</v>
      </c>
      <c r="J73" s="18">
        <v>27.428999999999998</v>
      </c>
      <c r="K73" s="18">
        <v>27.474</v>
      </c>
    </row>
    <row r="74" spans="1:11" x14ac:dyDescent="0.25">
      <c r="A74" s="25" t="s">
        <v>0</v>
      </c>
      <c r="B74" s="36">
        <v>41810</v>
      </c>
      <c r="C74" s="30">
        <v>1599</v>
      </c>
      <c r="D74" s="51" t="e">
        <f>#REF!+Predpisy_splatka!F74</f>
        <v>#REF!</v>
      </c>
      <c r="E74" s="30">
        <v>0</v>
      </c>
      <c r="F74" s="31">
        <f t="shared" si="15"/>
        <v>0</v>
      </c>
      <c r="G74" s="30">
        <v>0</v>
      </c>
      <c r="H74" s="25"/>
      <c r="I74" s="25" t="s">
        <v>51</v>
      </c>
      <c r="J74" s="16">
        <v>27.428999999999998</v>
      </c>
      <c r="K74" s="16">
        <v>27.459</v>
      </c>
    </row>
    <row r="75" spans="1:11" s="37" customFormat="1" x14ac:dyDescent="0.25">
      <c r="A75" s="25" t="s">
        <v>0</v>
      </c>
      <c r="B75" s="36">
        <v>41840</v>
      </c>
      <c r="C75" s="30">
        <v>1599</v>
      </c>
      <c r="D75" s="51" t="e">
        <f>#REF!+Predpisy_splatka!F75</f>
        <v>#REF!</v>
      </c>
      <c r="E75" s="30">
        <v>0</v>
      </c>
      <c r="F75" s="31">
        <f t="shared" si="15"/>
        <v>0</v>
      </c>
      <c r="G75" s="30">
        <v>0</v>
      </c>
      <c r="H75" s="25"/>
      <c r="I75" s="25" t="s">
        <v>52</v>
      </c>
      <c r="J75" s="18">
        <v>27.428999999999998</v>
      </c>
      <c r="K75" s="18">
        <v>27.49</v>
      </c>
    </row>
    <row r="76" spans="1:11" s="37" customFormat="1" x14ac:dyDescent="0.25">
      <c r="A76" s="25" t="s">
        <v>0</v>
      </c>
      <c r="B76" s="36">
        <v>41871</v>
      </c>
      <c r="C76" s="30">
        <v>1599</v>
      </c>
      <c r="D76" s="51" t="e">
        <f>#REF!+Predpisy_splatka!F76</f>
        <v>#REF!</v>
      </c>
      <c r="E76" s="30">
        <v>0</v>
      </c>
      <c r="F76" s="31">
        <f t="shared" si="15"/>
        <v>0</v>
      </c>
      <c r="G76" s="30">
        <v>0</v>
      </c>
      <c r="H76" s="25"/>
      <c r="I76" s="25" t="s">
        <v>72</v>
      </c>
      <c r="J76" s="18">
        <v>27.428999999999998</v>
      </c>
      <c r="K76" s="18">
        <v>28.004000000000001</v>
      </c>
    </row>
    <row r="77" spans="1:11" x14ac:dyDescent="0.25">
      <c r="A77" s="13" t="s">
        <v>0</v>
      </c>
      <c r="B77" s="12">
        <v>41902</v>
      </c>
      <c r="C77" s="26">
        <v>1599</v>
      </c>
      <c r="D77" s="52" t="e">
        <f>#REF!+Predpisy_splatka!F77</f>
        <v>#REF!</v>
      </c>
      <c r="E77" s="26">
        <v>0</v>
      </c>
      <c r="F77" s="31">
        <f t="shared" si="15"/>
        <v>0</v>
      </c>
      <c r="G77" s="26">
        <v>0</v>
      </c>
      <c r="H77" s="13"/>
      <c r="I77" s="13" t="s">
        <v>73</v>
      </c>
      <c r="J77" s="16">
        <v>27.428999999999998</v>
      </c>
      <c r="K77" s="16">
        <v>27.428999999999998</v>
      </c>
    </row>
    <row r="78" spans="1:11" x14ac:dyDescent="0.25">
      <c r="A78" s="21" t="s">
        <v>0</v>
      </c>
      <c r="B78" s="14">
        <v>41932</v>
      </c>
      <c r="C78" s="7">
        <v>1599</v>
      </c>
      <c r="D78" s="52" t="e">
        <f>#REF!+Predpisy_splatka!F78</f>
        <v>#REF!</v>
      </c>
      <c r="E78" s="7">
        <v>0</v>
      </c>
      <c r="F78" s="31">
        <f t="shared" si="15"/>
        <v>0</v>
      </c>
      <c r="G78" s="7">
        <v>0</v>
      </c>
      <c r="H78" s="4"/>
      <c r="I78" s="67" t="s">
        <v>74</v>
      </c>
      <c r="J78" s="16">
        <v>27.428999999999998</v>
      </c>
      <c r="K78" s="16">
        <v>27.428999999999998</v>
      </c>
    </row>
    <row r="79" spans="1:11" x14ac:dyDescent="0.25">
      <c r="D79" s="54" t="e">
        <f>SUM(D73:D78)</f>
        <v>#REF!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>
          <x14:formula1>
            <xm:f>[1]ValueList_Helper!#REF!</xm:f>
          </x14:formula1>
          <xm:sqref>A3:A9 A14:A20 A25:A31 A36:A42 A48:A54 A60:A66 A72:A78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W64"/>
  <sheetViews>
    <sheetView zoomScale="90" zoomScaleNormal="90" workbookViewId="0">
      <pane ySplit="1" topLeftCell="A8" activePane="bottomLeft" state="frozen"/>
      <selection activeCell="F19" sqref="F19"/>
      <selection pane="bottomLeft" activeCell="P23" sqref="P23"/>
    </sheetView>
  </sheetViews>
  <sheetFormatPr defaultRowHeight="15" outlineLevelCol="1" x14ac:dyDescent="0.25"/>
  <cols>
    <col min="1" max="1" width="12.85546875" customWidth="1"/>
    <col min="2" max="2" width="18.42578125" customWidth="1"/>
    <col min="3" max="3" width="10.7109375" bestFit="1" customWidth="1"/>
    <col min="6" max="6" width="11.5703125" customWidth="1"/>
    <col min="7" max="7" width="11.7109375" customWidth="1"/>
    <col min="8" max="8" width="11.140625" customWidth="1"/>
    <col min="9" max="9" width="9" customWidth="1"/>
    <col min="10" max="10" width="11.140625" customWidth="1"/>
    <col min="11" max="12" width="11.5703125" customWidth="1"/>
    <col min="13" max="13" width="16.5703125" bestFit="1" customWidth="1"/>
    <col min="16" max="16" width="11.140625" customWidth="1"/>
    <col min="17" max="17" width="14.5703125" bestFit="1" customWidth="1"/>
    <col min="18" max="18" width="10.5703125" customWidth="1"/>
    <col min="20" max="20" width="14.5703125" bestFit="1" customWidth="1"/>
    <col min="22" max="38" width="0" hidden="1" customWidth="1" outlineLevel="1"/>
    <col min="39" max="39" width="11.28515625" hidden="1" customWidth="1" outlineLevel="1"/>
    <col min="40" max="42" width="0" hidden="1" customWidth="1" outlineLevel="1"/>
    <col min="43" max="43" width="10.5703125" customWidth="1" collapsed="1"/>
    <col min="44" max="44" width="12.140625" customWidth="1"/>
    <col min="45" max="45" width="11.42578125" customWidth="1"/>
    <col min="46" max="46" width="11.7109375" style="123" customWidth="1"/>
  </cols>
  <sheetData>
    <row r="1" spans="1:47" ht="42" x14ac:dyDescent="0.25">
      <c r="A1" s="10" t="s">
        <v>46</v>
      </c>
      <c r="B1" s="10" t="s">
        <v>41</v>
      </c>
      <c r="C1" s="42" t="s">
        <v>82</v>
      </c>
      <c r="D1" s="42" t="s">
        <v>83</v>
      </c>
      <c r="E1" s="42" t="s">
        <v>79</v>
      </c>
      <c r="F1" s="42" t="s">
        <v>80</v>
      </c>
      <c r="G1" s="10" t="s">
        <v>19</v>
      </c>
      <c r="H1" s="11" t="s">
        <v>7</v>
      </c>
      <c r="I1" s="82" t="s">
        <v>39</v>
      </c>
      <c r="J1" s="86" t="s">
        <v>0</v>
      </c>
      <c r="K1" s="87" t="s">
        <v>24</v>
      </c>
      <c r="L1" s="88" t="s">
        <v>38</v>
      </c>
      <c r="M1" s="86" t="s">
        <v>35</v>
      </c>
      <c r="N1" s="87" t="s">
        <v>5</v>
      </c>
      <c r="O1" s="88" t="s">
        <v>28</v>
      </c>
      <c r="P1" s="86" t="s">
        <v>43</v>
      </c>
      <c r="Q1" s="87" t="s">
        <v>34</v>
      </c>
      <c r="R1" s="88" t="s">
        <v>12</v>
      </c>
      <c r="S1" s="86" t="s">
        <v>31</v>
      </c>
      <c r="T1" s="87" t="s">
        <v>17</v>
      </c>
      <c r="U1" s="88" t="s">
        <v>14</v>
      </c>
      <c r="V1" s="86" t="s">
        <v>33</v>
      </c>
      <c r="W1" s="87" t="s">
        <v>4</v>
      </c>
      <c r="X1" s="88" t="s">
        <v>36</v>
      </c>
      <c r="Y1" s="86" t="s">
        <v>18</v>
      </c>
      <c r="Z1" s="87" t="s">
        <v>15</v>
      </c>
      <c r="AA1" s="88" t="s">
        <v>2</v>
      </c>
      <c r="AB1" s="86" t="s">
        <v>23</v>
      </c>
      <c r="AC1" s="87" t="s">
        <v>3</v>
      </c>
      <c r="AD1" s="88" t="s">
        <v>20</v>
      </c>
      <c r="AE1" s="86" t="s">
        <v>22</v>
      </c>
      <c r="AF1" s="87" t="s">
        <v>45</v>
      </c>
      <c r="AG1" s="88" t="s">
        <v>16</v>
      </c>
      <c r="AH1" s="86" t="s">
        <v>26</v>
      </c>
      <c r="AI1" s="87" t="s">
        <v>11</v>
      </c>
      <c r="AJ1" s="88" t="s">
        <v>27</v>
      </c>
      <c r="AK1" s="11" t="s">
        <v>25</v>
      </c>
      <c r="AL1" s="11" t="s">
        <v>37</v>
      </c>
      <c r="AM1" s="10" t="s">
        <v>30</v>
      </c>
      <c r="AN1" s="10" t="s">
        <v>32</v>
      </c>
      <c r="AO1" s="10" t="s">
        <v>13</v>
      </c>
    </row>
    <row r="2" spans="1:47" x14ac:dyDescent="0.25">
      <c r="A2" s="4" t="s">
        <v>6</v>
      </c>
      <c r="B2" s="3">
        <v>41735</v>
      </c>
      <c r="C2" s="43"/>
      <c r="D2" s="43"/>
      <c r="E2" s="43"/>
      <c r="F2" s="43"/>
      <c r="G2" s="4"/>
      <c r="H2" s="8"/>
      <c r="I2" s="83"/>
      <c r="J2" s="89">
        <v>0</v>
      </c>
      <c r="K2" s="8"/>
      <c r="L2" s="90">
        <v>0</v>
      </c>
      <c r="M2" s="89">
        <v>0</v>
      </c>
      <c r="N2" s="8"/>
      <c r="O2" s="90">
        <v>0</v>
      </c>
      <c r="P2" s="89">
        <v>0</v>
      </c>
      <c r="Q2" s="8"/>
      <c r="R2" s="90">
        <v>0</v>
      </c>
      <c r="S2" s="89">
        <v>0</v>
      </c>
      <c r="T2" s="8"/>
      <c r="U2" s="90">
        <v>0</v>
      </c>
      <c r="V2" s="89"/>
      <c r="W2" s="8"/>
      <c r="X2" s="90">
        <v>0</v>
      </c>
      <c r="Y2" s="89"/>
      <c r="Z2" s="8"/>
      <c r="AA2" s="90">
        <v>0</v>
      </c>
      <c r="AB2" s="89"/>
      <c r="AC2" s="8"/>
      <c r="AD2" s="90">
        <v>0</v>
      </c>
      <c r="AE2" s="89"/>
      <c r="AF2" s="8"/>
      <c r="AG2" s="90">
        <v>0</v>
      </c>
      <c r="AH2" s="89">
        <v>0</v>
      </c>
      <c r="AI2" s="8">
        <v>0</v>
      </c>
      <c r="AJ2" s="90">
        <v>0</v>
      </c>
      <c r="AK2" s="8"/>
      <c r="AL2" s="8">
        <v>0</v>
      </c>
      <c r="AM2" s="4"/>
      <c r="AN2" s="4"/>
      <c r="AO2" s="4"/>
    </row>
    <row r="3" spans="1:47" ht="51" customHeight="1" x14ac:dyDescent="0.25">
      <c r="A3" s="5" t="s">
        <v>8</v>
      </c>
      <c r="B3" s="22">
        <v>41735.476504629602</v>
      </c>
      <c r="C3" s="43"/>
      <c r="D3" s="43"/>
      <c r="E3" s="43"/>
      <c r="F3" s="43"/>
      <c r="G3" s="22">
        <v>41735.476504629602</v>
      </c>
      <c r="H3" s="8">
        <v>999</v>
      </c>
      <c r="I3" s="83" t="s">
        <v>29</v>
      </c>
      <c r="J3" s="89"/>
      <c r="K3" s="8">
        <v>999</v>
      </c>
      <c r="L3" s="90">
        <v>-999</v>
      </c>
      <c r="M3" s="89"/>
      <c r="N3" s="8">
        <v>999</v>
      </c>
      <c r="O3" s="90">
        <v>-999</v>
      </c>
      <c r="P3" s="89"/>
      <c r="Q3" s="8">
        <v>0</v>
      </c>
      <c r="R3" s="90">
        <v>0</v>
      </c>
      <c r="S3" s="89"/>
      <c r="T3" s="8">
        <v>0</v>
      </c>
      <c r="U3" s="90">
        <v>0</v>
      </c>
      <c r="V3" s="89"/>
      <c r="W3" s="8">
        <v>0</v>
      </c>
      <c r="X3" s="90">
        <v>0</v>
      </c>
      <c r="Y3" s="89"/>
      <c r="Z3" s="8">
        <v>0</v>
      </c>
      <c r="AA3" s="90">
        <v>0</v>
      </c>
      <c r="AB3" s="89"/>
      <c r="AC3" s="8">
        <v>0</v>
      </c>
      <c r="AD3" s="90">
        <v>0</v>
      </c>
      <c r="AE3" s="89"/>
      <c r="AF3" s="8">
        <v>0</v>
      </c>
      <c r="AG3" s="90">
        <v>0</v>
      </c>
      <c r="AH3" s="89">
        <v>0</v>
      </c>
      <c r="AI3" s="8">
        <v>0</v>
      </c>
      <c r="AJ3" s="90">
        <v>0</v>
      </c>
      <c r="AK3" s="8">
        <v>0</v>
      </c>
      <c r="AL3" s="8">
        <v>0</v>
      </c>
      <c r="AM3" s="9">
        <v>41735.476504629602</v>
      </c>
      <c r="AN3" s="4" t="s">
        <v>21</v>
      </c>
      <c r="AO3" s="4" t="s">
        <v>44</v>
      </c>
    </row>
    <row r="4" spans="1:47" x14ac:dyDescent="0.25">
      <c r="A4" s="6" t="s">
        <v>40</v>
      </c>
      <c r="B4" s="22">
        <v>41735.476504629602</v>
      </c>
      <c r="C4" s="43"/>
      <c r="D4" s="43"/>
      <c r="E4" s="43"/>
      <c r="F4" s="43"/>
      <c r="G4" s="22"/>
      <c r="H4" s="8"/>
      <c r="I4" s="83"/>
      <c r="J4" s="89">
        <v>999</v>
      </c>
      <c r="K4" s="8"/>
      <c r="L4" s="90">
        <f>L3+J4-K4</f>
        <v>0</v>
      </c>
      <c r="M4" s="89">
        <v>999</v>
      </c>
      <c r="N4" s="8"/>
      <c r="O4" s="90">
        <f>O3+M4-N4</f>
        <v>0</v>
      </c>
      <c r="P4" s="89">
        <v>0</v>
      </c>
      <c r="Q4" s="8"/>
      <c r="R4" s="90">
        <f>R3+P4-Q4</f>
        <v>0</v>
      </c>
      <c r="S4" s="89">
        <v>0</v>
      </c>
      <c r="T4" s="8"/>
      <c r="U4" s="90">
        <f>U3+S4-T4</f>
        <v>0</v>
      </c>
      <c r="V4" s="89"/>
      <c r="W4" s="8"/>
      <c r="X4" s="90">
        <v>0</v>
      </c>
      <c r="Y4" s="89"/>
      <c r="Z4" s="8"/>
      <c r="AA4" s="90">
        <v>0</v>
      </c>
      <c r="AB4" s="89"/>
      <c r="AC4" s="8"/>
      <c r="AD4" s="90">
        <v>0</v>
      </c>
      <c r="AE4" s="89"/>
      <c r="AF4" s="8"/>
      <c r="AG4" s="90">
        <v>0</v>
      </c>
      <c r="AH4" s="89">
        <v>0</v>
      </c>
      <c r="AI4" s="8">
        <v>0</v>
      </c>
      <c r="AJ4" s="90">
        <v>0</v>
      </c>
      <c r="AK4" s="8"/>
      <c r="AL4" s="8">
        <v>0</v>
      </c>
      <c r="AM4" s="4"/>
      <c r="AN4" s="4" t="s">
        <v>21</v>
      </c>
      <c r="AO4" s="4"/>
      <c r="AQ4" s="146" t="s">
        <v>95</v>
      </c>
      <c r="AR4" s="146"/>
      <c r="AS4" s="146"/>
      <c r="AT4" s="148"/>
      <c r="AU4" s="146"/>
    </row>
    <row r="5" spans="1:47" x14ac:dyDescent="0.25">
      <c r="A5" s="1" t="s">
        <v>42</v>
      </c>
      <c r="B5" s="3">
        <v>41779</v>
      </c>
      <c r="C5" s="43"/>
      <c r="D5" s="43"/>
      <c r="E5" s="43"/>
      <c r="F5" s="43"/>
      <c r="G5" s="4"/>
      <c r="H5" s="8"/>
      <c r="I5" s="83"/>
      <c r="J5" s="89">
        <f>M5+P5+S5</f>
        <v>1649</v>
      </c>
      <c r="K5" s="8"/>
      <c r="L5" s="90">
        <f t="shared" ref="L5:L13" si="0">L4+J5-K5</f>
        <v>1649</v>
      </c>
      <c r="M5" s="89">
        <v>50</v>
      </c>
      <c r="N5" s="8"/>
      <c r="O5" s="90">
        <f t="shared" ref="O5:O13" si="1">O4+M5-N5</f>
        <v>50</v>
      </c>
      <c r="P5" s="89">
        <v>1382.3</v>
      </c>
      <c r="Q5" s="8"/>
      <c r="R5" s="90">
        <f t="shared" ref="R5:R13" si="2">R4+P5-Q5</f>
        <v>1382.3</v>
      </c>
      <c r="S5" s="89">
        <v>216.7</v>
      </c>
      <c r="T5" s="8"/>
      <c r="U5" s="90">
        <f t="shared" ref="U5:U13" si="3">U4+S5-T5</f>
        <v>216.7</v>
      </c>
      <c r="V5" s="89"/>
      <c r="W5" s="8"/>
      <c r="X5" s="90">
        <v>0</v>
      </c>
      <c r="Y5" s="89"/>
      <c r="Z5" s="8"/>
      <c r="AA5" s="90">
        <v>0</v>
      </c>
      <c r="AB5" s="89"/>
      <c r="AC5" s="8"/>
      <c r="AD5" s="90">
        <v>0</v>
      </c>
      <c r="AE5" s="89"/>
      <c r="AF5" s="8"/>
      <c r="AG5" s="90">
        <v>0</v>
      </c>
      <c r="AH5" s="89">
        <v>0</v>
      </c>
      <c r="AI5" s="8">
        <v>0</v>
      </c>
      <c r="AJ5" s="90">
        <v>0</v>
      </c>
      <c r="AK5" s="8"/>
      <c r="AL5" s="8">
        <v>0</v>
      </c>
      <c r="AM5" s="4"/>
      <c r="AN5" s="4" t="s">
        <v>10</v>
      </c>
      <c r="AO5" s="4"/>
      <c r="AQ5" s="154"/>
      <c r="AR5" s="154"/>
      <c r="AS5" s="154"/>
      <c r="AT5" s="148"/>
      <c r="AU5" s="154"/>
    </row>
    <row r="6" spans="1:47" x14ac:dyDescent="0.25">
      <c r="A6" s="5" t="s">
        <v>8</v>
      </c>
      <c r="B6" s="3">
        <v>41784</v>
      </c>
      <c r="C6" s="43"/>
      <c r="D6" s="43"/>
      <c r="E6" s="43"/>
      <c r="F6" s="43"/>
      <c r="G6" s="4"/>
      <c r="H6" s="8">
        <f>K6</f>
        <v>1649</v>
      </c>
      <c r="I6" s="83"/>
      <c r="J6" s="89"/>
      <c r="K6" s="8">
        <f>N6+Q6+T6</f>
        <v>1649</v>
      </c>
      <c r="L6" s="90">
        <f t="shared" si="0"/>
        <v>0</v>
      </c>
      <c r="M6" s="89"/>
      <c r="N6" s="8">
        <v>50</v>
      </c>
      <c r="O6" s="90">
        <f t="shared" si="1"/>
        <v>0</v>
      </c>
      <c r="P6" s="89"/>
      <c r="Q6" s="8">
        <v>1382.3</v>
      </c>
      <c r="R6" s="90">
        <f t="shared" si="2"/>
        <v>0</v>
      </c>
      <c r="S6" s="89"/>
      <c r="T6" s="8">
        <v>216.7</v>
      </c>
      <c r="U6" s="90">
        <f t="shared" si="3"/>
        <v>0</v>
      </c>
      <c r="V6" s="89"/>
      <c r="W6" s="8"/>
      <c r="X6" s="90"/>
      <c r="Y6" s="89"/>
      <c r="Z6" s="8"/>
      <c r="AA6" s="90"/>
      <c r="AB6" s="89"/>
      <c r="AC6" s="8"/>
      <c r="AD6" s="90"/>
      <c r="AE6" s="89"/>
      <c r="AF6" s="8"/>
      <c r="AG6" s="90"/>
      <c r="AH6" s="89"/>
      <c r="AI6" s="8"/>
      <c r="AJ6" s="90"/>
      <c r="AK6" s="8"/>
      <c r="AL6" s="8"/>
      <c r="AM6" s="4"/>
      <c r="AN6" s="4"/>
      <c r="AO6" s="4"/>
      <c r="AQ6" s="144" t="s">
        <v>87</v>
      </c>
      <c r="AR6" s="144"/>
      <c r="AS6" s="144"/>
      <c r="AT6" s="145"/>
      <c r="AU6" s="146"/>
    </row>
    <row r="7" spans="1:47" x14ac:dyDescent="0.25">
      <c r="A7" s="1" t="s">
        <v>42</v>
      </c>
      <c r="B7" s="3">
        <v>41810</v>
      </c>
      <c r="C7" s="43"/>
      <c r="D7" s="43"/>
      <c r="E7" s="43"/>
      <c r="F7" s="43"/>
      <c r="G7" s="4"/>
      <c r="H7" s="8"/>
      <c r="I7" s="83"/>
      <c r="J7" s="89">
        <f t="shared" ref="J7:J13" si="4">M7+P7+S7</f>
        <v>1649</v>
      </c>
      <c r="K7" s="8"/>
      <c r="L7" s="90">
        <f t="shared" si="0"/>
        <v>1649</v>
      </c>
      <c r="M7" s="125">
        <v>50</v>
      </c>
      <c r="N7" s="8"/>
      <c r="O7" s="90">
        <f t="shared" si="1"/>
        <v>50</v>
      </c>
      <c r="P7" s="125">
        <v>1470.25</v>
      </c>
      <c r="Q7" s="8"/>
      <c r="R7" s="90">
        <f t="shared" si="2"/>
        <v>1470.25</v>
      </c>
      <c r="S7" s="125">
        <v>128.75</v>
      </c>
      <c r="T7" s="8"/>
      <c r="U7" s="90">
        <f t="shared" si="3"/>
        <v>128.75</v>
      </c>
      <c r="V7" s="89"/>
      <c r="W7" s="8"/>
      <c r="X7" s="90">
        <v>0</v>
      </c>
      <c r="Y7" s="89"/>
      <c r="Z7" s="8"/>
      <c r="AA7" s="90">
        <v>0</v>
      </c>
      <c r="AB7" s="89"/>
      <c r="AC7" s="8"/>
      <c r="AD7" s="90">
        <v>0</v>
      </c>
      <c r="AE7" s="89"/>
      <c r="AF7" s="8"/>
      <c r="AG7" s="90">
        <v>0</v>
      </c>
      <c r="AH7" s="89">
        <v>0</v>
      </c>
      <c r="AI7" s="8">
        <v>0</v>
      </c>
      <c r="AJ7" s="90">
        <v>0</v>
      </c>
      <c r="AK7" s="8"/>
      <c r="AL7" s="8">
        <v>0</v>
      </c>
      <c r="AM7" s="4"/>
      <c r="AN7" s="4" t="s">
        <v>9</v>
      </c>
      <c r="AO7" s="4"/>
      <c r="AQ7" s="147"/>
      <c r="AR7" s="146" t="s">
        <v>97</v>
      </c>
      <c r="AS7" s="146" t="s">
        <v>98</v>
      </c>
      <c r="AT7" s="157" t="s">
        <v>102</v>
      </c>
      <c r="AU7" s="146"/>
    </row>
    <row r="8" spans="1:47" x14ac:dyDescent="0.25">
      <c r="A8" s="5" t="s">
        <v>8</v>
      </c>
      <c r="B8" s="3">
        <v>41812</v>
      </c>
      <c r="C8" s="43"/>
      <c r="D8" s="43"/>
      <c r="E8" s="43"/>
      <c r="F8" s="43"/>
      <c r="G8" s="4"/>
      <c r="H8" s="8">
        <v>1720</v>
      </c>
      <c r="I8" s="83"/>
      <c r="J8" s="89">
        <f t="shared" si="4"/>
        <v>0</v>
      </c>
      <c r="K8" s="8">
        <f>N8+Q8+T8</f>
        <v>1720</v>
      </c>
      <c r="L8" s="90">
        <f t="shared" si="0"/>
        <v>-71</v>
      </c>
      <c r="M8" s="89"/>
      <c r="N8" s="8">
        <f>50+50</f>
        <v>100</v>
      </c>
      <c r="O8" s="90">
        <f t="shared" si="1"/>
        <v>-50</v>
      </c>
      <c r="P8" s="89"/>
      <c r="Q8" s="8">
        <v>1470.25</v>
      </c>
      <c r="R8" s="90">
        <f t="shared" si="2"/>
        <v>0</v>
      </c>
      <c r="S8" s="89"/>
      <c r="T8" s="8">
        <f>128.75+21</f>
        <v>149.75</v>
      </c>
      <c r="U8" s="90">
        <f t="shared" si="3"/>
        <v>-21</v>
      </c>
      <c r="V8" s="89"/>
      <c r="W8" s="8"/>
      <c r="X8" s="90"/>
      <c r="Y8" s="89"/>
      <c r="Z8" s="8"/>
      <c r="AA8" s="90"/>
      <c r="AB8" s="89"/>
      <c r="AC8" s="8"/>
      <c r="AD8" s="90"/>
      <c r="AE8" s="89"/>
      <c r="AF8" s="8"/>
      <c r="AG8" s="90"/>
      <c r="AH8" s="89"/>
      <c r="AI8" s="8"/>
      <c r="AJ8" s="90"/>
      <c r="AK8" s="8"/>
      <c r="AL8" s="8"/>
      <c r="AM8" s="4"/>
      <c r="AN8" s="4"/>
      <c r="AO8" s="4"/>
      <c r="AQ8" s="146" t="s">
        <v>99</v>
      </c>
      <c r="AR8" s="149">
        <f>M7</f>
        <v>50</v>
      </c>
      <c r="AS8" s="149">
        <f>AR8</f>
        <v>50</v>
      </c>
      <c r="AT8" s="148">
        <f>B7</f>
        <v>41810</v>
      </c>
      <c r="AU8" s="146" t="s">
        <v>88</v>
      </c>
    </row>
    <row r="9" spans="1:47" x14ac:dyDescent="0.25">
      <c r="A9" s="1" t="s">
        <v>42</v>
      </c>
      <c r="B9" s="3">
        <v>41840</v>
      </c>
      <c r="C9" s="43"/>
      <c r="D9" s="43"/>
      <c r="E9" s="43"/>
      <c r="F9" s="43"/>
      <c r="G9" s="4"/>
      <c r="H9" s="8"/>
      <c r="I9" s="83"/>
      <c r="J9" s="89">
        <f t="shared" si="4"/>
        <v>1649</v>
      </c>
      <c r="K9" s="8"/>
      <c r="L9" s="90">
        <f t="shared" si="0"/>
        <v>1578</v>
      </c>
      <c r="M9" s="125">
        <v>50</v>
      </c>
      <c r="N9" s="8"/>
      <c r="O9" s="90">
        <f t="shared" si="1"/>
        <v>0</v>
      </c>
      <c r="P9" s="125">
        <v>1470.25</v>
      </c>
      <c r="Q9" s="8"/>
      <c r="R9" s="90">
        <f t="shared" si="2"/>
        <v>1470.25</v>
      </c>
      <c r="S9" s="125">
        <v>128.75</v>
      </c>
      <c r="T9" s="8"/>
      <c r="U9" s="90">
        <f t="shared" si="3"/>
        <v>107.75</v>
      </c>
      <c r="V9" s="89"/>
      <c r="W9" s="8"/>
      <c r="X9" s="90">
        <v>0</v>
      </c>
      <c r="Y9" s="89"/>
      <c r="Z9" s="8"/>
      <c r="AA9" s="90">
        <v>0</v>
      </c>
      <c r="AB9" s="89"/>
      <c r="AC9" s="8"/>
      <c r="AD9" s="90">
        <v>0</v>
      </c>
      <c r="AE9" s="89"/>
      <c r="AF9" s="8"/>
      <c r="AG9" s="90">
        <v>0</v>
      </c>
      <c r="AH9" s="89">
        <v>0</v>
      </c>
      <c r="AI9" s="8">
        <v>0</v>
      </c>
      <c r="AJ9" s="90">
        <v>0</v>
      </c>
      <c r="AK9" s="8"/>
      <c r="AL9" s="8">
        <v>0</v>
      </c>
      <c r="AM9" s="4"/>
      <c r="AN9" s="4" t="s">
        <v>1</v>
      </c>
      <c r="AO9" s="4"/>
      <c r="AQ9" s="146"/>
      <c r="AR9" s="149">
        <f>M9</f>
        <v>50</v>
      </c>
      <c r="AS9" s="149">
        <f>AR9</f>
        <v>50</v>
      </c>
      <c r="AT9" s="148">
        <f>B9</f>
        <v>41840</v>
      </c>
      <c r="AU9" s="146" t="s">
        <v>89</v>
      </c>
    </row>
    <row r="10" spans="1:47" x14ac:dyDescent="0.25">
      <c r="A10" s="5" t="s">
        <v>8</v>
      </c>
      <c r="B10" s="3">
        <v>41843</v>
      </c>
      <c r="C10" s="43"/>
      <c r="D10" s="43"/>
      <c r="E10" s="43"/>
      <c r="F10" s="43"/>
      <c r="G10" s="4"/>
      <c r="H10" s="8">
        <v>1000</v>
      </c>
      <c r="I10" s="83"/>
      <c r="J10" s="89"/>
      <c r="K10" s="8">
        <f>N10+Q10+T10</f>
        <v>1000</v>
      </c>
      <c r="L10" s="90">
        <f>L9+J10-K10</f>
        <v>578</v>
      </c>
      <c r="M10" s="125"/>
      <c r="N10" s="8">
        <v>0</v>
      </c>
      <c r="O10" s="90">
        <f>O9+M10-N10</f>
        <v>0</v>
      </c>
      <c r="P10" s="89"/>
      <c r="Q10" s="8">
        <v>892.25</v>
      </c>
      <c r="R10" s="90">
        <f>R9+P10-Q10</f>
        <v>578</v>
      </c>
      <c r="S10" s="125"/>
      <c r="T10" s="8">
        <f>U9</f>
        <v>107.75</v>
      </c>
      <c r="U10" s="90">
        <f>U9+S10-T10</f>
        <v>0</v>
      </c>
      <c r="V10" s="89"/>
      <c r="W10" s="8"/>
      <c r="X10" s="90"/>
      <c r="Y10" s="89"/>
      <c r="Z10" s="8"/>
      <c r="AA10" s="90"/>
      <c r="AB10" s="89"/>
      <c r="AC10" s="8"/>
      <c r="AD10" s="90"/>
      <c r="AE10" s="89"/>
      <c r="AF10" s="8"/>
      <c r="AG10" s="90"/>
      <c r="AH10" s="89"/>
      <c r="AI10" s="8"/>
      <c r="AJ10" s="90"/>
      <c r="AK10" s="8"/>
      <c r="AL10" s="8"/>
      <c r="AM10" s="4"/>
      <c r="AN10" s="4"/>
      <c r="AO10" s="4"/>
      <c r="AQ10" s="149" t="s">
        <v>100</v>
      </c>
      <c r="AR10" s="149">
        <f>S7</f>
        <v>128.75</v>
      </c>
      <c r="AS10" s="149">
        <f>AR10</f>
        <v>128.75</v>
      </c>
      <c r="AT10" s="148">
        <f>B7</f>
        <v>41810</v>
      </c>
      <c r="AU10" s="146" t="s">
        <v>88</v>
      </c>
    </row>
    <row r="11" spans="1:47" x14ac:dyDescent="0.25">
      <c r="A11" s="1" t="s">
        <v>42</v>
      </c>
      <c r="B11" s="3">
        <v>41871</v>
      </c>
      <c r="C11" s="43"/>
      <c r="D11" s="43"/>
      <c r="E11" s="43"/>
      <c r="F11" s="43"/>
      <c r="G11" s="4"/>
      <c r="H11" s="8"/>
      <c r="I11" s="83"/>
      <c r="J11" s="89">
        <f t="shared" si="4"/>
        <v>1649</v>
      </c>
      <c r="K11" s="8"/>
      <c r="L11" s="90">
        <f>L10+J11-K11</f>
        <v>2227</v>
      </c>
      <c r="M11" s="89">
        <v>50</v>
      </c>
      <c r="N11" s="8"/>
      <c r="O11" s="90">
        <f>O10+M11-N11</f>
        <v>50</v>
      </c>
      <c r="P11" s="89">
        <v>1470.25</v>
      </c>
      <c r="Q11" s="8"/>
      <c r="R11" s="90">
        <f>R10+P11-Q11</f>
        <v>2048.25</v>
      </c>
      <c r="S11" s="89">
        <v>128.75</v>
      </c>
      <c r="T11" s="8"/>
      <c r="U11" s="90">
        <f>U10+S11-T11</f>
        <v>128.75</v>
      </c>
      <c r="V11" s="89"/>
      <c r="W11" s="8"/>
      <c r="X11" s="90">
        <v>0</v>
      </c>
      <c r="Y11" s="89"/>
      <c r="Z11" s="8"/>
      <c r="AA11" s="90">
        <v>0</v>
      </c>
      <c r="AB11" s="89"/>
      <c r="AC11" s="8"/>
      <c r="AD11" s="90">
        <v>0</v>
      </c>
      <c r="AE11" s="89"/>
      <c r="AF11" s="8"/>
      <c r="AG11" s="90">
        <v>0</v>
      </c>
      <c r="AH11" s="89">
        <v>0</v>
      </c>
      <c r="AI11" s="8">
        <v>0</v>
      </c>
      <c r="AJ11" s="90">
        <v>0</v>
      </c>
      <c r="AK11" s="8"/>
      <c r="AL11" s="8">
        <v>0</v>
      </c>
      <c r="AM11" s="4"/>
      <c r="AN11" s="4"/>
      <c r="AO11" s="4"/>
      <c r="AQ11" s="146"/>
      <c r="AR11" s="147">
        <f>-U8</f>
        <v>21</v>
      </c>
      <c r="AS11" s="147">
        <f>AR11</f>
        <v>21</v>
      </c>
      <c r="AT11" s="148">
        <f>B9</f>
        <v>41840</v>
      </c>
      <c r="AU11" s="146" t="s">
        <v>89</v>
      </c>
    </row>
    <row r="12" spans="1:47" x14ac:dyDescent="0.25">
      <c r="A12" s="1" t="s">
        <v>42</v>
      </c>
      <c r="B12" s="3">
        <v>41902</v>
      </c>
      <c r="C12" s="43"/>
      <c r="D12" s="43"/>
      <c r="E12" s="43"/>
      <c r="F12" s="43"/>
      <c r="G12" s="4"/>
      <c r="H12" s="8"/>
      <c r="I12" s="83"/>
      <c r="J12" s="89">
        <f t="shared" si="4"/>
        <v>1649</v>
      </c>
      <c r="K12" s="8"/>
      <c r="L12" s="90">
        <f t="shared" si="0"/>
        <v>3876</v>
      </c>
      <c r="M12" s="89">
        <v>50</v>
      </c>
      <c r="N12" s="8"/>
      <c r="O12" s="90">
        <f t="shared" si="1"/>
        <v>100</v>
      </c>
      <c r="P12" s="89">
        <v>1470.25</v>
      </c>
      <c r="Q12" s="8"/>
      <c r="R12" s="90">
        <f t="shared" si="2"/>
        <v>3518.5</v>
      </c>
      <c r="S12" s="89">
        <v>128.75</v>
      </c>
      <c r="T12" s="8"/>
      <c r="U12" s="90">
        <f t="shared" si="3"/>
        <v>257.5</v>
      </c>
      <c r="V12" s="89"/>
      <c r="W12" s="8"/>
      <c r="X12" s="90">
        <v>0</v>
      </c>
      <c r="Y12" s="89"/>
      <c r="Z12" s="8"/>
      <c r="AA12" s="90">
        <v>0</v>
      </c>
      <c r="AB12" s="89"/>
      <c r="AC12" s="8"/>
      <c r="AD12" s="90">
        <v>0</v>
      </c>
      <c r="AE12" s="89"/>
      <c r="AF12" s="8"/>
      <c r="AG12" s="90">
        <v>0</v>
      </c>
      <c r="AH12" s="89">
        <v>0</v>
      </c>
      <c r="AI12" s="8">
        <v>0</v>
      </c>
      <c r="AJ12" s="90">
        <v>0</v>
      </c>
      <c r="AK12" s="8"/>
      <c r="AL12" s="8">
        <v>0</v>
      </c>
      <c r="AM12" s="4"/>
      <c r="AN12" s="4"/>
      <c r="AO12" s="4"/>
      <c r="AQ12" s="146" t="s">
        <v>101</v>
      </c>
      <c r="AR12" s="147">
        <f>Q8</f>
        <v>1470.25</v>
      </c>
      <c r="AS12" s="147">
        <f>AR12</f>
        <v>1470.25</v>
      </c>
      <c r="AT12" s="148">
        <f>B7</f>
        <v>41810</v>
      </c>
      <c r="AU12" s="146" t="s">
        <v>88</v>
      </c>
    </row>
    <row r="13" spans="1:47" x14ac:dyDescent="0.25">
      <c r="A13" s="2" t="s">
        <v>42</v>
      </c>
      <c r="B13" s="3">
        <v>41932</v>
      </c>
      <c r="C13" s="43"/>
      <c r="D13" s="43"/>
      <c r="E13" s="43"/>
      <c r="F13" s="43"/>
      <c r="G13" s="4"/>
      <c r="H13" s="7"/>
      <c r="I13" s="83"/>
      <c r="J13" s="89">
        <f t="shared" si="4"/>
        <v>1649</v>
      </c>
      <c r="K13" s="7"/>
      <c r="L13" s="90">
        <f t="shared" si="0"/>
        <v>5525</v>
      </c>
      <c r="M13" s="89">
        <v>50</v>
      </c>
      <c r="N13" s="7"/>
      <c r="O13" s="90">
        <f t="shared" si="1"/>
        <v>150</v>
      </c>
      <c r="P13" s="104">
        <v>1470.25</v>
      </c>
      <c r="Q13" s="7"/>
      <c r="R13" s="90">
        <f t="shared" si="2"/>
        <v>4988.75</v>
      </c>
      <c r="S13" s="104">
        <v>128.75</v>
      </c>
      <c r="T13" s="7"/>
      <c r="U13" s="90">
        <f t="shared" si="3"/>
        <v>386.25</v>
      </c>
      <c r="V13" s="104"/>
      <c r="W13" s="7"/>
      <c r="X13" s="90">
        <v>0</v>
      </c>
      <c r="Y13" s="104"/>
      <c r="Z13" s="7"/>
      <c r="AA13" s="90">
        <v>0</v>
      </c>
      <c r="AB13" s="104"/>
      <c r="AC13" s="7"/>
      <c r="AD13" s="90">
        <v>0</v>
      </c>
      <c r="AE13" s="104"/>
      <c r="AF13" s="7"/>
      <c r="AG13" s="90">
        <v>0</v>
      </c>
      <c r="AH13" s="104">
        <v>0</v>
      </c>
      <c r="AI13" s="7">
        <v>0</v>
      </c>
      <c r="AJ13" s="90">
        <v>0</v>
      </c>
      <c r="AK13" s="8"/>
      <c r="AL13" s="8">
        <v>0</v>
      </c>
      <c r="AM13" s="4"/>
      <c r="AN13" s="4"/>
      <c r="AO13" s="4"/>
      <c r="AQ13" s="146"/>
      <c r="AR13" s="150"/>
      <c r="AS13" s="150">
        <f>SUM(AS8:AS12)</f>
        <v>1720</v>
      </c>
      <c r="AT13" s="148"/>
      <c r="AU13" s="146"/>
    </row>
    <row r="14" spans="1:47" x14ac:dyDescent="0.25">
      <c r="J14" s="91"/>
      <c r="K14" s="37"/>
      <c r="L14" s="92"/>
      <c r="M14" s="91"/>
      <c r="N14" s="37"/>
      <c r="O14" s="92"/>
      <c r="P14" s="91"/>
      <c r="Q14" s="37"/>
      <c r="R14" s="92"/>
      <c r="S14" s="91"/>
      <c r="T14" s="37"/>
      <c r="U14" s="92"/>
      <c r="V14" s="91"/>
      <c r="W14" s="37"/>
      <c r="X14" s="92"/>
      <c r="Y14" s="91"/>
      <c r="Z14" s="37"/>
      <c r="AA14" s="92"/>
      <c r="AB14" s="91"/>
      <c r="AC14" s="37"/>
      <c r="AD14" s="92"/>
      <c r="AE14" s="91"/>
      <c r="AF14" s="37"/>
      <c r="AG14" s="92"/>
      <c r="AH14" s="91"/>
      <c r="AI14" s="37"/>
      <c r="AJ14" s="92"/>
      <c r="AQ14" s="146"/>
      <c r="AR14" s="149"/>
      <c r="AS14" s="149"/>
      <c r="AT14" s="151">
        <f>AS13-H8</f>
        <v>0</v>
      </c>
      <c r="AU14" s="146"/>
    </row>
    <row r="15" spans="1:47" ht="42" x14ac:dyDescent="0.25">
      <c r="A15" s="10" t="s">
        <v>46</v>
      </c>
      <c r="B15" s="10" t="s">
        <v>41</v>
      </c>
      <c r="C15" s="42" t="s">
        <v>82</v>
      </c>
      <c r="D15" s="42" t="s">
        <v>83</v>
      </c>
      <c r="E15" s="42" t="s">
        <v>79</v>
      </c>
      <c r="F15" s="42" t="s">
        <v>80</v>
      </c>
      <c r="G15" s="10" t="s">
        <v>19</v>
      </c>
      <c r="H15" s="11" t="s">
        <v>7</v>
      </c>
      <c r="I15" s="82" t="s">
        <v>39</v>
      </c>
      <c r="J15" s="93" t="s">
        <v>0</v>
      </c>
      <c r="K15" s="11" t="s">
        <v>24</v>
      </c>
      <c r="L15" s="94" t="s">
        <v>38</v>
      </c>
      <c r="M15" s="93" t="s">
        <v>35</v>
      </c>
      <c r="N15" s="11" t="s">
        <v>5</v>
      </c>
      <c r="O15" s="94" t="s">
        <v>28</v>
      </c>
      <c r="P15" s="93" t="s">
        <v>43</v>
      </c>
      <c r="Q15" s="11" t="s">
        <v>34</v>
      </c>
      <c r="R15" s="94" t="s">
        <v>12</v>
      </c>
      <c r="S15" s="93" t="s">
        <v>31</v>
      </c>
      <c r="T15" s="11" t="s">
        <v>17</v>
      </c>
      <c r="U15" s="94" t="s">
        <v>14</v>
      </c>
      <c r="V15" s="93" t="s">
        <v>33</v>
      </c>
      <c r="W15" s="11" t="s">
        <v>4</v>
      </c>
      <c r="X15" s="94" t="s">
        <v>36</v>
      </c>
      <c r="Y15" s="93" t="s">
        <v>18</v>
      </c>
      <c r="Z15" s="11" t="s">
        <v>15</v>
      </c>
      <c r="AA15" s="94" t="s">
        <v>2</v>
      </c>
      <c r="AB15" s="93" t="s">
        <v>23</v>
      </c>
      <c r="AC15" s="11" t="s">
        <v>3</v>
      </c>
      <c r="AD15" s="94" t="s">
        <v>20</v>
      </c>
      <c r="AE15" s="93" t="s">
        <v>22</v>
      </c>
      <c r="AF15" s="11" t="s">
        <v>45</v>
      </c>
      <c r="AG15" s="94" t="s">
        <v>16</v>
      </c>
      <c r="AH15" s="93" t="s">
        <v>26</v>
      </c>
      <c r="AI15" s="11" t="s">
        <v>11</v>
      </c>
      <c r="AJ15" s="94" t="s">
        <v>27</v>
      </c>
      <c r="AK15" s="11" t="s">
        <v>25</v>
      </c>
      <c r="AL15" s="11" t="s">
        <v>37</v>
      </c>
      <c r="AM15" s="10" t="s">
        <v>30</v>
      </c>
      <c r="AN15" s="10" t="s">
        <v>32</v>
      </c>
      <c r="AO15" s="10" t="s">
        <v>13</v>
      </c>
      <c r="AQ15" s="144" t="s">
        <v>90</v>
      </c>
      <c r="AR15" s="146"/>
      <c r="AS15" s="146"/>
      <c r="AT15" s="148"/>
      <c r="AU15" s="146"/>
    </row>
    <row r="16" spans="1:47" x14ac:dyDescent="0.25">
      <c r="A16" s="4" t="s">
        <v>6</v>
      </c>
      <c r="B16" s="3">
        <v>41735</v>
      </c>
      <c r="C16" s="43"/>
      <c r="D16" s="43" t="e">
        <f>VLOOKUP(B16,jul,24,FALSE)</f>
        <v>#REF!</v>
      </c>
      <c r="E16" s="43"/>
      <c r="F16" s="43"/>
      <c r="G16" s="4"/>
      <c r="H16" s="76"/>
      <c r="I16" s="83"/>
      <c r="J16" s="95" t="e">
        <f>J2/D16</f>
        <v>#REF!</v>
      </c>
      <c r="K16" s="76"/>
      <c r="L16" s="96" t="e">
        <f>J16-K16</f>
        <v>#REF!</v>
      </c>
      <c r="M16" s="95" t="e">
        <f>M2/D16</f>
        <v>#REF!</v>
      </c>
      <c r="N16" s="76"/>
      <c r="O16" s="96" t="e">
        <f>M16-N16</f>
        <v>#REF!</v>
      </c>
      <c r="P16" s="95" t="e">
        <f>P2/$D$16</f>
        <v>#REF!</v>
      </c>
      <c r="Q16" s="76"/>
      <c r="R16" s="96" t="e">
        <f>P16-Q16</f>
        <v>#REF!</v>
      </c>
      <c r="S16" s="95" t="e">
        <f>S2/$D$16</f>
        <v>#REF!</v>
      </c>
      <c r="T16" s="76"/>
      <c r="U16" s="96" t="e">
        <f>S16-T16</f>
        <v>#REF!</v>
      </c>
      <c r="V16" s="95"/>
      <c r="W16" s="76"/>
      <c r="X16" s="96">
        <f>V16-W16</f>
        <v>0</v>
      </c>
      <c r="Y16" s="95"/>
      <c r="Z16" s="76"/>
      <c r="AA16" s="96">
        <f>Y16-Z16</f>
        <v>0</v>
      </c>
      <c r="AB16" s="95"/>
      <c r="AC16" s="76"/>
      <c r="AD16" s="96">
        <f>AB16-AC16</f>
        <v>0</v>
      </c>
      <c r="AE16" s="95"/>
      <c r="AF16" s="76"/>
      <c r="AG16" s="96">
        <f>AE16-AF16</f>
        <v>0</v>
      </c>
      <c r="AH16" s="95">
        <v>0</v>
      </c>
      <c r="AI16" s="76">
        <v>0</v>
      </c>
      <c r="AJ16" s="96">
        <f>AH16-AI16</f>
        <v>0</v>
      </c>
      <c r="AK16" s="76"/>
      <c r="AL16" s="76">
        <f>AK16</f>
        <v>0</v>
      </c>
      <c r="AM16" s="4"/>
      <c r="AN16" s="4"/>
      <c r="AO16" s="4"/>
      <c r="AQ16" s="147"/>
      <c r="AR16" s="146" t="s">
        <v>97</v>
      </c>
      <c r="AS16" s="146" t="s">
        <v>98</v>
      </c>
      <c r="AT16" s="157" t="s">
        <v>102</v>
      </c>
      <c r="AU16" s="146"/>
    </row>
    <row r="17" spans="1:49" ht="19.5" customHeight="1" x14ac:dyDescent="0.25">
      <c r="A17" s="5" t="s">
        <v>8</v>
      </c>
      <c r="B17" s="22">
        <v>41735</v>
      </c>
      <c r="C17" s="43"/>
      <c r="D17" s="43"/>
      <c r="E17" s="43">
        <v>27.428999999999998</v>
      </c>
      <c r="F17" s="43"/>
      <c r="G17" s="22">
        <v>41735.476504629602</v>
      </c>
      <c r="H17" s="76">
        <f>H3/E17</f>
        <v>36.421305917095047</v>
      </c>
      <c r="I17" s="83" t="s">
        <v>29</v>
      </c>
      <c r="J17" s="95">
        <f>M17+P17+S17</f>
        <v>0</v>
      </c>
      <c r="K17" s="76">
        <f>N17+Q17+T17</f>
        <v>36.42</v>
      </c>
      <c r="L17" s="96" t="e">
        <f>L16+J17-K17</f>
        <v>#REF!</v>
      </c>
      <c r="M17" s="95"/>
      <c r="N17" s="76">
        <f>ROUND(N3/$E$17,2)</f>
        <v>36.42</v>
      </c>
      <c r="O17" s="96" t="e">
        <f>O16+M17-N17</f>
        <v>#REF!</v>
      </c>
      <c r="P17" s="95"/>
      <c r="Q17" s="76">
        <f>Q3/$E$17</f>
        <v>0</v>
      </c>
      <c r="R17" s="96" t="e">
        <f>R16+P17-Q17</f>
        <v>#REF!</v>
      </c>
      <c r="S17" s="95"/>
      <c r="T17" s="76">
        <f>T3/$E$17</f>
        <v>0</v>
      </c>
      <c r="U17" s="96" t="e">
        <f>U16+S17-T17</f>
        <v>#REF!</v>
      </c>
      <c r="V17" s="95"/>
      <c r="W17" s="76">
        <f>W3/$E$17</f>
        <v>0</v>
      </c>
      <c r="X17" s="96">
        <f>X16+V17-W17</f>
        <v>0</v>
      </c>
      <c r="Y17" s="95"/>
      <c r="Z17" s="76">
        <f>Z3/$E$17</f>
        <v>0</v>
      </c>
      <c r="AA17" s="96">
        <f>AA16+Y17-Z17</f>
        <v>0</v>
      </c>
      <c r="AB17" s="95"/>
      <c r="AC17" s="76">
        <f>AC3/$E$17</f>
        <v>0</v>
      </c>
      <c r="AD17" s="96">
        <f>AD16+AB17-AC17</f>
        <v>0</v>
      </c>
      <c r="AE17" s="95"/>
      <c r="AF17" s="76">
        <f>AF3/$E$17</f>
        <v>0</v>
      </c>
      <c r="AG17" s="96">
        <f>AG16+AE17-AF17</f>
        <v>0</v>
      </c>
      <c r="AH17" s="95">
        <v>0</v>
      </c>
      <c r="AI17" s="76">
        <f>AI3/$E$17</f>
        <v>0</v>
      </c>
      <c r="AJ17" s="96">
        <f>AJ16+AH17-AI17</f>
        <v>0</v>
      </c>
      <c r="AK17" s="76">
        <v>0</v>
      </c>
      <c r="AL17" s="76">
        <v>0</v>
      </c>
      <c r="AM17" s="9">
        <v>41735.476504629602</v>
      </c>
      <c r="AN17" s="4" t="s">
        <v>21</v>
      </c>
      <c r="AO17" s="4" t="s">
        <v>44</v>
      </c>
      <c r="AQ17" s="146" t="s">
        <v>99</v>
      </c>
      <c r="AR17" s="147">
        <f>N10</f>
        <v>0</v>
      </c>
      <c r="AS17" s="147">
        <f>AR17</f>
        <v>0</v>
      </c>
      <c r="AT17" s="148">
        <f>B9</f>
        <v>41840</v>
      </c>
      <c r="AU17" s="146" t="s">
        <v>88</v>
      </c>
    </row>
    <row r="18" spans="1:49" x14ac:dyDescent="0.25">
      <c r="A18" s="6" t="s">
        <v>40</v>
      </c>
      <c r="B18" s="22">
        <v>41735</v>
      </c>
      <c r="C18" s="43"/>
      <c r="D18" s="43" t="e">
        <f>VLOOKUP(B18,jul,24,FALSE)</f>
        <v>#REF!</v>
      </c>
      <c r="E18" s="43"/>
      <c r="F18" s="43"/>
      <c r="G18" s="22"/>
      <c r="H18" s="76"/>
      <c r="I18" s="83"/>
      <c r="J18" s="95" t="e">
        <f>M18+P18+S18</f>
        <v>#REF!</v>
      </c>
      <c r="K18" s="76">
        <f>N18+Q18+T18</f>
        <v>0</v>
      </c>
      <c r="L18" s="96" t="e">
        <f>L17+J18-K18</f>
        <v>#REF!</v>
      </c>
      <c r="M18" s="95" t="e">
        <f>VLOOKUP(B18,splatka4,3,FALSE)</f>
        <v>#REF!</v>
      </c>
      <c r="N18" s="76"/>
      <c r="O18" s="96" t="e">
        <f>O17+M18-N18</f>
        <v>#REF!</v>
      </c>
      <c r="P18" s="95"/>
      <c r="Q18" s="76"/>
      <c r="R18" s="96" t="e">
        <f>R17+P18-Q18</f>
        <v>#REF!</v>
      </c>
      <c r="S18" s="95"/>
      <c r="T18" s="76"/>
      <c r="U18" s="96"/>
      <c r="V18" s="95"/>
      <c r="W18" s="76"/>
      <c r="X18" s="96">
        <v>0</v>
      </c>
      <c r="Y18" s="95"/>
      <c r="Z18" s="76"/>
      <c r="AA18" s="96">
        <v>0</v>
      </c>
      <c r="AB18" s="95"/>
      <c r="AC18" s="76"/>
      <c r="AD18" s="96">
        <v>0</v>
      </c>
      <c r="AE18" s="95"/>
      <c r="AF18" s="76"/>
      <c r="AG18" s="96">
        <v>0</v>
      </c>
      <c r="AH18" s="95">
        <v>0</v>
      </c>
      <c r="AI18" s="76">
        <v>0</v>
      </c>
      <c r="AJ18" s="96">
        <v>0</v>
      </c>
      <c r="AK18" s="76"/>
      <c r="AL18" s="76">
        <v>0</v>
      </c>
      <c r="AM18" s="4"/>
      <c r="AN18" s="4" t="s">
        <v>21</v>
      </c>
      <c r="AO18" s="4"/>
      <c r="AQ18" s="149" t="s">
        <v>100</v>
      </c>
      <c r="AR18" s="147">
        <f>T10</f>
        <v>107.75</v>
      </c>
      <c r="AS18" s="147">
        <f>AR18</f>
        <v>107.75</v>
      </c>
      <c r="AT18" s="148">
        <f>B9</f>
        <v>41840</v>
      </c>
      <c r="AU18" s="146" t="s">
        <v>88</v>
      </c>
    </row>
    <row r="19" spans="1:49" ht="21" x14ac:dyDescent="0.25">
      <c r="A19" s="44" t="s">
        <v>81</v>
      </c>
      <c r="B19" s="45">
        <f>B17</f>
        <v>41735</v>
      </c>
      <c r="C19" s="46"/>
      <c r="D19" s="46"/>
      <c r="E19" s="46"/>
      <c r="F19" s="46"/>
      <c r="G19" s="47"/>
      <c r="H19" s="78"/>
      <c r="I19" s="84"/>
      <c r="J19" s="97" t="e">
        <f>M19+P19+S19</f>
        <v>#REF!</v>
      </c>
      <c r="K19" s="77"/>
      <c r="L19" s="98"/>
      <c r="M19" s="97" t="e">
        <f>ROUND(N3/E17-M4/D16,2)</f>
        <v>#REF!</v>
      </c>
      <c r="N19" s="77"/>
      <c r="O19" s="98" t="e">
        <f>O18+M19</f>
        <v>#REF!</v>
      </c>
      <c r="P19" s="97">
        <v>0</v>
      </c>
      <c r="Q19" s="77"/>
      <c r="R19" s="98"/>
      <c r="S19" s="97">
        <v>0</v>
      </c>
      <c r="T19" s="77"/>
      <c r="U19" s="98"/>
      <c r="V19" s="97" t="e">
        <f>X4/$E$17-X4/$D$18</f>
        <v>#REF!</v>
      </c>
      <c r="W19" s="77"/>
      <c r="X19" s="98"/>
      <c r="Y19" s="97" t="e">
        <f>AA4/$E$17-AA4/$D$18</f>
        <v>#REF!</v>
      </c>
      <c r="Z19" s="77"/>
      <c r="AA19" s="98"/>
      <c r="AB19" s="97" t="e">
        <f>AD4/$E$17-AD4/$D$18</f>
        <v>#REF!</v>
      </c>
      <c r="AC19" s="77"/>
      <c r="AD19" s="98"/>
      <c r="AE19" s="97" t="e">
        <f>AG4/$E$17-AG4/$D$18</f>
        <v>#REF!</v>
      </c>
      <c r="AF19" s="77"/>
      <c r="AG19" s="98"/>
      <c r="AH19" s="97" t="e">
        <f>AJ4/$E$17-AJ4/$D$18</f>
        <v>#REF!</v>
      </c>
      <c r="AI19" s="77"/>
      <c r="AJ19" s="98"/>
      <c r="AK19" s="78"/>
      <c r="AL19" s="78"/>
      <c r="AM19" s="48"/>
      <c r="AN19" s="48"/>
      <c r="AO19" s="48"/>
      <c r="AQ19" s="146" t="s">
        <v>101</v>
      </c>
      <c r="AR19" s="147">
        <f>Q10</f>
        <v>892.25</v>
      </c>
      <c r="AS19" s="147">
        <f>AR19</f>
        <v>892.25</v>
      </c>
      <c r="AT19" s="148">
        <f>B9</f>
        <v>41840</v>
      </c>
      <c r="AU19" s="146" t="s">
        <v>88</v>
      </c>
    </row>
    <row r="20" spans="1:49" ht="21" x14ac:dyDescent="0.25">
      <c r="A20" s="69" t="s">
        <v>75</v>
      </c>
      <c r="B20" s="70">
        <v>41759</v>
      </c>
      <c r="C20" s="71"/>
      <c r="D20" s="71"/>
      <c r="E20" s="71"/>
      <c r="F20" s="71" t="e">
        <f>VLOOKUP(B20,jul,25,FALSE)</f>
        <v>#REF!</v>
      </c>
      <c r="G20" s="72"/>
      <c r="H20" s="80"/>
      <c r="I20" s="85"/>
      <c r="J20" s="99" t="e">
        <f>M20+P20+S20</f>
        <v>#REF!</v>
      </c>
      <c r="K20" s="79"/>
      <c r="L20" s="100"/>
      <c r="M20" s="99" t="e">
        <f>ROUND(O4/$F$20-O19,2)</f>
        <v>#REF!</v>
      </c>
      <c r="N20" s="79"/>
      <c r="O20" s="100" t="e">
        <f>O19+M20</f>
        <v>#REF!</v>
      </c>
      <c r="P20" s="99" t="e">
        <f>ROUND(R4/$F$20-R18,2)</f>
        <v>#REF!</v>
      </c>
      <c r="Q20" s="79"/>
      <c r="R20" s="100" t="e">
        <f>R19+P20</f>
        <v>#REF!</v>
      </c>
      <c r="S20" s="99" t="e">
        <f>ROUND(U4/$F$20-U18,2)</f>
        <v>#REF!</v>
      </c>
      <c r="T20" s="79"/>
      <c r="U20" s="100" t="e">
        <f>U19+S20</f>
        <v>#REF!</v>
      </c>
      <c r="V20" s="99" t="e">
        <f>X4/$F$20-X18</f>
        <v>#REF!</v>
      </c>
      <c r="W20" s="79"/>
      <c r="X20" s="100"/>
      <c r="Y20" s="99"/>
      <c r="Z20" s="79"/>
      <c r="AA20" s="100"/>
      <c r="AB20" s="99"/>
      <c r="AC20" s="79"/>
      <c r="AD20" s="100"/>
      <c r="AE20" s="99"/>
      <c r="AF20" s="79"/>
      <c r="AG20" s="100"/>
      <c r="AH20" s="99"/>
      <c r="AI20" s="79"/>
      <c r="AJ20" s="100"/>
      <c r="AK20" s="80"/>
      <c r="AL20" s="80"/>
      <c r="AM20" s="68"/>
      <c r="AN20" s="68"/>
      <c r="AO20" s="68"/>
      <c r="AQ20" s="146"/>
      <c r="AR20" s="152"/>
      <c r="AS20" s="152">
        <f>SUM(AS17:AS19)</f>
        <v>1000</v>
      </c>
      <c r="AT20" s="148"/>
      <c r="AU20" s="146"/>
    </row>
    <row r="21" spans="1:49" x14ac:dyDescent="0.25">
      <c r="A21" s="1" t="s">
        <v>42</v>
      </c>
      <c r="B21" s="3">
        <v>41779</v>
      </c>
      <c r="C21" s="43" t="e">
        <f>VLOOKUP(B21,jul,23,FALSE)</f>
        <v>#REF!</v>
      </c>
      <c r="D21" s="43" t="e">
        <f>VLOOKUP(B21,jul,24,FALSE)</f>
        <v>#REF!</v>
      </c>
      <c r="E21" s="43"/>
      <c r="F21" s="43"/>
      <c r="G21" s="4"/>
      <c r="H21" s="76"/>
      <c r="I21" s="83"/>
      <c r="J21" s="95" t="e">
        <f t="shared" ref="J21:K37" si="5">M21+P21+S21</f>
        <v>#REF!</v>
      </c>
      <c r="K21" s="76">
        <f t="shared" si="5"/>
        <v>0</v>
      </c>
      <c r="L21" s="96" t="e">
        <f>L18+J21-K21</f>
        <v>#REF!</v>
      </c>
      <c r="M21" s="95" t="e">
        <f>VLOOKUP(B21,splatka5,5,FALSE)</f>
        <v>#REF!</v>
      </c>
      <c r="N21" s="76"/>
      <c r="O21" s="96" t="e">
        <f>O18+M21-N21</f>
        <v>#REF!</v>
      </c>
      <c r="P21" s="95" t="e">
        <f>VLOOKUP(B21,maj,3,FALSE)</f>
        <v>#REF!</v>
      </c>
      <c r="Q21" s="76"/>
      <c r="R21" s="96" t="e">
        <f>R18+P21-Q21</f>
        <v>#REF!</v>
      </c>
      <c r="S21" s="95" t="e">
        <f>VLOOKUP(B21,maj,5,FALSE)</f>
        <v>#REF!</v>
      </c>
      <c r="T21" s="76"/>
      <c r="U21" s="96" t="e">
        <f>U18+S21-T21</f>
        <v>#REF!</v>
      </c>
      <c r="V21" s="95"/>
      <c r="W21" s="76"/>
      <c r="X21" s="96">
        <v>0</v>
      </c>
      <c r="Y21" s="95"/>
      <c r="Z21" s="76"/>
      <c r="AA21" s="96">
        <v>0</v>
      </c>
      <c r="AB21" s="95"/>
      <c r="AC21" s="76"/>
      <c r="AD21" s="96">
        <v>0</v>
      </c>
      <c r="AE21" s="95"/>
      <c r="AF21" s="76"/>
      <c r="AG21" s="96">
        <v>0</v>
      </c>
      <c r="AH21" s="95">
        <v>0</v>
      </c>
      <c r="AI21" s="76">
        <v>0</v>
      </c>
      <c r="AJ21" s="96">
        <v>0</v>
      </c>
      <c r="AK21" s="76"/>
      <c r="AL21" s="76">
        <v>0</v>
      </c>
      <c r="AM21" s="4"/>
      <c r="AN21" s="4" t="s">
        <v>10</v>
      </c>
      <c r="AO21" s="4"/>
      <c r="AQ21" s="146"/>
      <c r="AR21" s="146"/>
      <c r="AS21" s="146"/>
      <c r="AT21" s="153">
        <f>H10-AS20</f>
        <v>0</v>
      </c>
      <c r="AU21" s="146"/>
    </row>
    <row r="22" spans="1:49" ht="16.5" customHeight="1" x14ac:dyDescent="0.25">
      <c r="A22" s="5" t="s">
        <v>8</v>
      </c>
      <c r="B22" s="3">
        <v>41784</v>
      </c>
      <c r="C22" s="43"/>
      <c r="D22" s="43"/>
      <c r="E22" s="43">
        <v>27.440999999999999</v>
      </c>
      <c r="F22" s="43"/>
      <c r="G22" s="22">
        <v>41784</v>
      </c>
      <c r="H22" s="76">
        <f>H6/E22</f>
        <v>60.092562224408731</v>
      </c>
      <c r="I22" s="83"/>
      <c r="J22" s="95">
        <f t="shared" si="5"/>
        <v>0</v>
      </c>
      <c r="K22" s="76">
        <f t="shared" si="5"/>
        <v>60.089999999999996</v>
      </c>
      <c r="L22" s="96" t="e">
        <f>L21+J22-K22</f>
        <v>#REF!</v>
      </c>
      <c r="M22" s="95"/>
      <c r="N22" s="76">
        <f>ROUND(N6/$E$22,2)</f>
        <v>1.82</v>
      </c>
      <c r="O22" s="96" t="e">
        <f>O21+M22-N22</f>
        <v>#REF!</v>
      </c>
      <c r="P22" s="95"/>
      <c r="Q22" s="76">
        <f>ROUND(Q6/$E$22,2)</f>
        <v>50.37</v>
      </c>
      <c r="R22" s="96" t="e">
        <f>R21+P22-Q22</f>
        <v>#REF!</v>
      </c>
      <c r="S22" s="95"/>
      <c r="T22" s="76">
        <f>ROUND(T6/$E$22,2)</f>
        <v>7.9</v>
      </c>
      <c r="U22" s="96" t="e">
        <f>U21+S22-T22</f>
        <v>#REF!</v>
      </c>
      <c r="V22" s="95"/>
      <c r="W22" s="76"/>
      <c r="X22" s="96"/>
      <c r="Y22" s="95"/>
      <c r="Z22" s="76"/>
      <c r="AA22" s="96"/>
      <c r="AB22" s="95"/>
      <c r="AC22" s="76"/>
      <c r="AD22" s="96"/>
      <c r="AE22" s="95"/>
      <c r="AF22" s="76"/>
      <c r="AG22" s="96"/>
      <c r="AH22" s="95"/>
      <c r="AI22" s="76"/>
      <c r="AJ22" s="96"/>
      <c r="AK22" s="76"/>
      <c r="AL22" s="76"/>
      <c r="AM22" s="4"/>
      <c r="AN22" s="4"/>
      <c r="AO22" s="4"/>
    </row>
    <row r="23" spans="1:49" ht="21" x14ac:dyDescent="0.25">
      <c r="A23" s="44" t="s">
        <v>81</v>
      </c>
      <c r="B23" s="45">
        <v>41784</v>
      </c>
      <c r="C23" s="46"/>
      <c r="D23" s="46"/>
      <c r="E23" s="46"/>
      <c r="F23" s="46"/>
      <c r="G23" s="47"/>
      <c r="H23" s="78"/>
      <c r="I23" s="84"/>
      <c r="J23" s="97" t="e">
        <f>M23+P23+S23</f>
        <v>#REF!</v>
      </c>
      <c r="K23" s="77"/>
      <c r="L23" s="98" t="e">
        <f>L22+J23-K23</f>
        <v>#REF!</v>
      </c>
      <c r="M23" s="97" t="e">
        <f>ROUND(N6/E22-M5/D21,2)</f>
        <v>#REF!</v>
      </c>
      <c r="N23" s="77"/>
      <c r="O23" s="98" t="e">
        <f t="shared" ref="O23:O37" si="6">O22+M23-N23</f>
        <v>#REF!</v>
      </c>
      <c r="P23" s="97" t="e">
        <f>ROUND(Q6/E22-P5/C21,2)</f>
        <v>#REF!</v>
      </c>
      <c r="Q23" s="77"/>
      <c r="R23" s="98" t="e">
        <f t="shared" ref="R23:R37" si="7">R22+P23-Q23</f>
        <v>#REF!</v>
      </c>
      <c r="S23" s="97" t="e">
        <f>ROUND(T6/E22-S5/D21,2)</f>
        <v>#REF!</v>
      </c>
      <c r="T23" s="77"/>
      <c r="U23" s="98" t="e">
        <f t="shared" ref="U23:U37" si="8">U22+S23-T23</f>
        <v>#REF!</v>
      </c>
      <c r="V23" s="97"/>
      <c r="W23" s="77"/>
      <c r="X23" s="98"/>
      <c r="Y23" s="97"/>
      <c r="Z23" s="77"/>
      <c r="AA23" s="98"/>
      <c r="AB23" s="97"/>
      <c r="AC23" s="77"/>
      <c r="AD23" s="98"/>
      <c r="AE23" s="97"/>
      <c r="AF23" s="77"/>
      <c r="AG23" s="98"/>
      <c r="AH23" s="97"/>
      <c r="AI23" s="77"/>
      <c r="AJ23" s="98"/>
      <c r="AK23" s="78"/>
      <c r="AL23" s="78"/>
      <c r="AM23" s="48"/>
      <c r="AN23" s="48"/>
      <c r="AO23" s="48"/>
    </row>
    <row r="24" spans="1:49" ht="21" x14ac:dyDescent="0.25">
      <c r="A24" s="69" t="s">
        <v>75</v>
      </c>
      <c r="B24" s="70">
        <v>41790</v>
      </c>
      <c r="C24" s="71"/>
      <c r="D24" s="71"/>
      <c r="E24" s="71"/>
      <c r="F24" s="71" t="e">
        <f>VLOOKUP(B24,jul,25,FALSE)</f>
        <v>#REF!</v>
      </c>
      <c r="G24" s="72"/>
      <c r="H24" s="80"/>
      <c r="I24" s="85"/>
      <c r="J24" s="99" t="e">
        <f>M24+P24+S24</f>
        <v>#REF!</v>
      </c>
      <c r="K24" s="79"/>
      <c r="L24" s="100" t="e">
        <f>L23+J24-K24</f>
        <v>#REF!</v>
      </c>
      <c r="M24" s="99" t="e">
        <f>ROUND(O6/$F$24-O23,2)</f>
        <v>#REF!</v>
      </c>
      <c r="N24" s="79"/>
      <c r="O24" s="100" t="e">
        <f t="shared" si="6"/>
        <v>#REF!</v>
      </c>
      <c r="P24" s="99" t="e">
        <f>ROUND(R6/$F$24-R23,2)</f>
        <v>#REF!</v>
      </c>
      <c r="Q24" s="79"/>
      <c r="R24" s="100" t="e">
        <f t="shared" si="7"/>
        <v>#REF!</v>
      </c>
      <c r="S24" s="99" t="e">
        <f>ROUND(U6/$F$24-U23,2)</f>
        <v>#REF!</v>
      </c>
      <c r="T24" s="79"/>
      <c r="U24" s="100" t="e">
        <f t="shared" si="8"/>
        <v>#REF!</v>
      </c>
      <c r="V24" s="99"/>
      <c r="W24" s="79"/>
      <c r="X24" s="100"/>
      <c r="Y24" s="99"/>
      <c r="Z24" s="79"/>
      <c r="AA24" s="100"/>
      <c r="AB24" s="99"/>
      <c r="AC24" s="79"/>
      <c r="AD24" s="100"/>
      <c r="AE24" s="99"/>
      <c r="AF24" s="79"/>
      <c r="AG24" s="100"/>
      <c r="AH24" s="99"/>
      <c r="AI24" s="79"/>
      <c r="AJ24" s="100"/>
      <c r="AK24" s="80"/>
      <c r="AL24" s="80"/>
      <c r="AM24" s="68"/>
      <c r="AN24" s="68"/>
      <c r="AO24" s="68"/>
    </row>
    <row r="25" spans="1:49" x14ac:dyDescent="0.25">
      <c r="A25" s="1" t="s">
        <v>42</v>
      </c>
      <c r="B25" s="3">
        <v>41810</v>
      </c>
      <c r="C25" s="43" t="e">
        <f>VLOOKUP(B25,jul,23,FALSE)</f>
        <v>#REF!</v>
      </c>
      <c r="D25" s="43" t="e">
        <f>VLOOKUP(B25,jul,24,FALSE)</f>
        <v>#REF!</v>
      </c>
      <c r="E25" s="43"/>
      <c r="F25" s="43"/>
      <c r="G25" s="4"/>
      <c r="H25" s="76"/>
      <c r="I25" s="83"/>
      <c r="J25" s="95" t="e">
        <f t="shared" si="5"/>
        <v>#REF!</v>
      </c>
      <c r="K25" s="76">
        <f t="shared" si="5"/>
        <v>0</v>
      </c>
      <c r="L25" s="96" t="e">
        <f>L24+J25-K25</f>
        <v>#REF!</v>
      </c>
      <c r="M25" s="95" t="e">
        <f>VLOOKUP(B25,splatka6,5,FALSE)</f>
        <v>#REF!</v>
      </c>
      <c r="N25" s="76"/>
      <c r="O25" s="96" t="e">
        <f t="shared" si="6"/>
        <v>#REF!</v>
      </c>
      <c r="P25" s="95" t="e">
        <f>VLOOKUP(B25,jun,3,FALSE)</f>
        <v>#REF!</v>
      </c>
      <c r="Q25" s="76"/>
      <c r="R25" s="96" t="e">
        <f t="shared" si="7"/>
        <v>#REF!</v>
      </c>
      <c r="S25" s="95" t="e">
        <f>VLOOKUP(B25,jun,5,FALSE)</f>
        <v>#REF!</v>
      </c>
      <c r="T25" s="76"/>
      <c r="U25" s="96" t="e">
        <f t="shared" si="8"/>
        <v>#REF!</v>
      </c>
      <c r="V25" s="95"/>
      <c r="W25" s="76"/>
      <c r="X25" s="96">
        <v>0</v>
      </c>
      <c r="Y25" s="95"/>
      <c r="Z25" s="76"/>
      <c r="AA25" s="96">
        <v>0</v>
      </c>
      <c r="AB25" s="95"/>
      <c r="AC25" s="76"/>
      <c r="AD25" s="96">
        <v>0</v>
      </c>
      <c r="AE25" s="95"/>
      <c r="AF25" s="76"/>
      <c r="AG25" s="96">
        <v>0</v>
      </c>
      <c r="AH25" s="95">
        <v>0</v>
      </c>
      <c r="AI25" s="76">
        <v>0</v>
      </c>
      <c r="AJ25" s="96">
        <v>0</v>
      </c>
      <c r="AK25" s="76"/>
      <c r="AL25" s="76">
        <v>0</v>
      </c>
      <c r="AM25" s="4"/>
      <c r="AN25" s="4" t="s">
        <v>9</v>
      </c>
      <c r="AO25" s="4"/>
    </row>
    <row r="26" spans="1:49" x14ac:dyDescent="0.25">
      <c r="A26" s="5" t="s">
        <v>8</v>
      </c>
      <c r="B26" s="3">
        <v>41812</v>
      </c>
      <c r="C26" s="43"/>
      <c r="D26" s="43"/>
      <c r="E26" s="43">
        <v>27.437999999999999</v>
      </c>
      <c r="F26" s="43"/>
      <c r="G26" s="22">
        <v>41812</v>
      </c>
      <c r="H26" s="76">
        <f>H8/$E$26</f>
        <v>62.686784751075152</v>
      </c>
      <c r="I26" s="83"/>
      <c r="J26" s="95">
        <f t="shared" si="5"/>
        <v>0</v>
      </c>
      <c r="K26" s="76">
        <f t="shared" si="5"/>
        <v>60.089999999999996</v>
      </c>
      <c r="L26" s="96" t="e">
        <f t="shared" ref="L26:L37" si="9">L25+J26-K26</f>
        <v>#REF!</v>
      </c>
      <c r="M26" s="95"/>
      <c r="N26" s="76">
        <f>ROUND(AS8/E26,2)</f>
        <v>1.82</v>
      </c>
      <c r="O26" s="96" t="e">
        <f>O25+M26-N26</f>
        <v>#REF!</v>
      </c>
      <c r="P26" s="95"/>
      <c r="Q26" s="76">
        <f>ROUND(AS12/$E$26,2)</f>
        <v>53.58</v>
      </c>
      <c r="R26" s="96" t="e">
        <f>R25+P26-Q26</f>
        <v>#REF!</v>
      </c>
      <c r="S26" s="95"/>
      <c r="T26" s="76">
        <f>ROUND(AS10/E26,2)</f>
        <v>4.6900000000000004</v>
      </c>
      <c r="U26" s="96" t="e">
        <f t="shared" si="8"/>
        <v>#REF!</v>
      </c>
      <c r="V26" s="95"/>
      <c r="W26" s="76"/>
      <c r="X26" s="96"/>
      <c r="Y26" s="95"/>
      <c r="Z26" s="76"/>
      <c r="AA26" s="96"/>
      <c r="AB26" s="95"/>
      <c r="AC26" s="76"/>
      <c r="AD26" s="96"/>
      <c r="AE26" s="95"/>
      <c r="AF26" s="76"/>
      <c r="AG26" s="96"/>
      <c r="AH26" s="95"/>
      <c r="AI26" s="76"/>
      <c r="AJ26" s="96"/>
      <c r="AK26" s="76"/>
      <c r="AL26" s="76"/>
      <c r="AM26" s="4"/>
      <c r="AN26" s="4"/>
      <c r="AO26" s="4"/>
      <c r="AQ26" s="127" t="s">
        <v>96</v>
      </c>
      <c r="AR26" s="127"/>
      <c r="AS26" s="127"/>
      <c r="AT26" s="128"/>
      <c r="AU26" s="127"/>
    </row>
    <row r="27" spans="1:49" s="138" customFormat="1" x14ac:dyDescent="0.25">
      <c r="A27" s="129" t="s">
        <v>86</v>
      </c>
      <c r="B27" s="130"/>
      <c r="C27" s="131"/>
      <c r="D27" s="131"/>
      <c r="E27" s="131"/>
      <c r="F27" s="131"/>
      <c r="G27" s="132"/>
      <c r="H27" s="133"/>
      <c r="I27" s="134"/>
      <c r="J27" s="135"/>
      <c r="K27" s="133">
        <f>N27+T27</f>
        <v>2.59</v>
      </c>
      <c r="L27" s="136"/>
      <c r="M27" s="135"/>
      <c r="N27" s="133">
        <f>ROUND(AS9/E26,2)</f>
        <v>1.82</v>
      </c>
      <c r="O27" s="136"/>
      <c r="P27" s="135"/>
      <c r="Q27" s="133"/>
      <c r="R27" s="136"/>
      <c r="S27" s="135"/>
      <c r="T27" s="133">
        <f>ROUND(AS11/E26,2)</f>
        <v>0.77</v>
      </c>
      <c r="U27" s="136"/>
      <c r="V27" s="135"/>
      <c r="W27" s="133"/>
      <c r="X27" s="136"/>
      <c r="Y27" s="135"/>
      <c r="Z27" s="133"/>
      <c r="AA27" s="136"/>
      <c r="AB27" s="135"/>
      <c r="AC27" s="133"/>
      <c r="AD27" s="136"/>
      <c r="AE27" s="135"/>
      <c r="AF27" s="133"/>
      <c r="AG27" s="136"/>
      <c r="AH27" s="135"/>
      <c r="AI27" s="133"/>
      <c r="AJ27" s="136"/>
      <c r="AK27" s="133"/>
      <c r="AL27" s="133"/>
      <c r="AM27" s="137"/>
      <c r="AN27" s="137"/>
      <c r="AO27" s="137"/>
      <c r="AQ27" s="142" t="s">
        <v>93</v>
      </c>
      <c r="AR27" s="142"/>
      <c r="AS27" s="142"/>
      <c r="AT27" s="139"/>
      <c r="AU27" s="142"/>
      <c r="AV27" s="142"/>
    </row>
    <row r="28" spans="1:49" ht="21" x14ac:dyDescent="0.25">
      <c r="A28" s="44" t="s">
        <v>81</v>
      </c>
      <c r="B28" s="45">
        <v>41812</v>
      </c>
      <c r="C28" s="46"/>
      <c r="D28" s="46"/>
      <c r="E28" s="46"/>
      <c r="F28" s="46"/>
      <c r="G28" s="47"/>
      <c r="H28" s="78"/>
      <c r="I28" s="84"/>
      <c r="J28" s="97" t="e">
        <f>M28+P28+S28</f>
        <v>#REF!</v>
      </c>
      <c r="K28" s="77"/>
      <c r="L28" s="98" t="e">
        <f>L26+J28-K28</f>
        <v>#REF!</v>
      </c>
      <c r="M28" s="97" t="e">
        <f>ROUND(AS8/E26-AR8/D25,2)</f>
        <v>#REF!</v>
      </c>
      <c r="N28" s="77"/>
      <c r="O28" s="98" t="e">
        <f>O26+M28-N28</f>
        <v>#REF!</v>
      </c>
      <c r="P28" s="97" t="e">
        <f>ROUND(AS12/E26-AR12/C25,2)</f>
        <v>#REF!</v>
      </c>
      <c r="Q28" s="77"/>
      <c r="R28" s="98" t="e">
        <f>R26+P28-Q28</f>
        <v>#REF!</v>
      </c>
      <c r="S28" s="97" t="e">
        <f>ROUND(AS10/E26,2)-ROUND(AR10/D25,2)</f>
        <v>#REF!</v>
      </c>
      <c r="T28" s="77"/>
      <c r="U28" s="98" t="e">
        <f>U26+S28-T28</f>
        <v>#REF!</v>
      </c>
      <c r="V28" s="97"/>
      <c r="W28" s="77"/>
      <c r="X28" s="98"/>
      <c r="Y28" s="97"/>
      <c r="Z28" s="77"/>
      <c r="AA28" s="98"/>
      <c r="AB28" s="97"/>
      <c r="AC28" s="77"/>
      <c r="AD28" s="98"/>
      <c r="AE28" s="97"/>
      <c r="AF28" s="77"/>
      <c r="AG28" s="98"/>
      <c r="AH28" s="97"/>
      <c r="AI28" s="77"/>
      <c r="AJ28" s="98"/>
      <c r="AK28" s="78"/>
      <c r="AL28" s="78"/>
      <c r="AM28" s="48"/>
      <c r="AN28" s="48"/>
      <c r="AO28" s="48"/>
      <c r="AQ28" s="142"/>
      <c r="AR28" s="142"/>
      <c r="AS28" s="142"/>
      <c r="AT28" s="139"/>
      <c r="AU28" s="143"/>
      <c r="AV28" s="143"/>
    </row>
    <row r="29" spans="1:49" ht="21" x14ac:dyDescent="0.25">
      <c r="A29" s="69" t="s">
        <v>75</v>
      </c>
      <c r="B29" s="70">
        <v>41820</v>
      </c>
      <c r="C29" s="71"/>
      <c r="D29" s="71"/>
      <c r="E29" s="71"/>
      <c r="F29" s="71" t="e">
        <f>VLOOKUP(B29,jul,25,FALSE)</f>
        <v>#REF!</v>
      </c>
      <c r="G29" s="72"/>
      <c r="H29" s="80"/>
      <c r="I29" s="85"/>
      <c r="J29" s="99" t="e">
        <f>M29+P29+S29</f>
        <v>#REF!</v>
      </c>
      <c r="K29" s="79"/>
      <c r="L29" s="100" t="e">
        <f t="shared" si="9"/>
        <v>#REF!</v>
      </c>
      <c r="M29" s="99" t="e">
        <f>ROUND(0/$F$29-O28,2)</f>
        <v>#REF!</v>
      </c>
      <c r="N29" s="79"/>
      <c r="O29" s="100" t="e">
        <f t="shared" si="6"/>
        <v>#REF!</v>
      </c>
      <c r="P29" s="99" t="e">
        <f>ROUND(0/$F$29-R28,2)</f>
        <v>#REF!</v>
      </c>
      <c r="Q29" s="79"/>
      <c r="R29" s="100" t="e">
        <f t="shared" si="7"/>
        <v>#REF!</v>
      </c>
      <c r="S29" s="99" t="e">
        <f>ROUND(0/F29-U28,2)</f>
        <v>#REF!</v>
      </c>
      <c r="T29" s="79"/>
      <c r="U29" s="100" t="e">
        <f t="shared" si="8"/>
        <v>#REF!</v>
      </c>
      <c r="V29" s="99"/>
      <c r="W29" s="79"/>
      <c r="X29" s="100"/>
      <c r="Y29" s="99"/>
      <c r="Z29" s="79"/>
      <c r="AA29" s="100"/>
      <c r="AB29" s="99"/>
      <c r="AC29" s="79"/>
      <c r="AD29" s="100"/>
      <c r="AE29" s="99"/>
      <c r="AF29" s="79"/>
      <c r="AG29" s="100"/>
      <c r="AH29" s="99"/>
      <c r="AI29" s="79"/>
      <c r="AJ29" s="100"/>
      <c r="AK29" s="80"/>
      <c r="AL29" s="80"/>
      <c r="AM29" s="68"/>
      <c r="AN29" s="68"/>
      <c r="AO29" s="68"/>
    </row>
    <row r="30" spans="1:49" x14ac:dyDescent="0.25">
      <c r="A30" s="1" t="s">
        <v>42</v>
      </c>
      <c r="B30" s="3">
        <v>41840</v>
      </c>
      <c r="C30" s="43" t="e">
        <f>VLOOKUP(B30,jul,23,FALSE)</f>
        <v>#REF!</v>
      </c>
      <c r="D30" s="43" t="e">
        <f>VLOOKUP(B30,jul,24,FALSE)</f>
        <v>#REF!</v>
      </c>
      <c r="E30" s="43"/>
      <c r="F30" s="43"/>
      <c r="G30" s="4"/>
      <c r="H30" s="76"/>
      <c r="I30" s="83"/>
      <c r="J30" s="95" t="e">
        <f t="shared" si="5"/>
        <v>#REF!</v>
      </c>
      <c r="K30" s="76">
        <f t="shared" si="5"/>
        <v>0</v>
      </c>
      <c r="L30" s="96" t="e">
        <f t="shared" si="9"/>
        <v>#REF!</v>
      </c>
      <c r="M30" s="95" t="e">
        <f>VLOOKUP(B30,splatka7,5,FALSE)</f>
        <v>#REF!</v>
      </c>
      <c r="N30" s="76"/>
      <c r="O30" s="96" t="e">
        <f t="shared" si="6"/>
        <v>#REF!</v>
      </c>
      <c r="P30" s="95" t="e">
        <f>VLOOKUP(B30,jul,3,FALSE)</f>
        <v>#REF!</v>
      </c>
      <c r="Q30" s="76"/>
      <c r="R30" s="96" t="e">
        <f t="shared" si="7"/>
        <v>#REF!</v>
      </c>
      <c r="S30" s="95" t="e">
        <f>VLOOKUP(B30,jul,5,FALSE)</f>
        <v>#REF!</v>
      </c>
      <c r="T30" s="76"/>
      <c r="U30" s="96" t="e">
        <f t="shared" si="8"/>
        <v>#REF!</v>
      </c>
      <c r="V30" s="95"/>
      <c r="W30" s="76"/>
      <c r="X30" s="96">
        <v>0</v>
      </c>
      <c r="Y30" s="95"/>
      <c r="Z30" s="76"/>
      <c r="AA30" s="96">
        <v>0</v>
      </c>
      <c r="AB30" s="95"/>
      <c r="AC30" s="76"/>
      <c r="AD30" s="96">
        <v>0</v>
      </c>
      <c r="AE30" s="95"/>
      <c r="AF30" s="76"/>
      <c r="AG30" s="96">
        <v>0</v>
      </c>
      <c r="AH30" s="95">
        <v>0</v>
      </c>
      <c r="AI30" s="76">
        <v>0</v>
      </c>
      <c r="AJ30" s="96">
        <v>0</v>
      </c>
      <c r="AK30" s="76"/>
      <c r="AL30" s="76">
        <v>0</v>
      </c>
      <c r="AM30" s="4"/>
      <c r="AN30" s="4" t="s">
        <v>1</v>
      </c>
      <c r="AO30" s="4"/>
    </row>
    <row r="31" spans="1:49" x14ac:dyDescent="0.25">
      <c r="A31" s="5" t="s">
        <v>8</v>
      </c>
      <c r="B31" s="3">
        <v>41843</v>
      </c>
      <c r="C31" s="43"/>
      <c r="D31" s="43"/>
      <c r="E31" s="43">
        <v>27.478999999999999</v>
      </c>
      <c r="F31" s="43"/>
      <c r="G31" s="22">
        <v>41843</v>
      </c>
      <c r="H31" s="76">
        <f>H10/E31</f>
        <v>36.391426179991996</v>
      </c>
      <c r="I31" s="83"/>
      <c r="J31" s="95">
        <f>M31+P31+S31</f>
        <v>0</v>
      </c>
      <c r="K31" s="76">
        <f>N31+Q31+T31</f>
        <v>36.391426179991996</v>
      </c>
      <c r="L31" s="96" t="e">
        <f t="shared" si="9"/>
        <v>#REF!</v>
      </c>
      <c r="M31" s="95"/>
      <c r="N31" s="76">
        <f>N10/$E$31</f>
        <v>0</v>
      </c>
      <c r="O31" s="96" t="e">
        <f t="shared" si="6"/>
        <v>#REF!</v>
      </c>
      <c r="P31" s="95"/>
      <c r="Q31" s="76">
        <f>Q10/$E$31</f>
        <v>32.47025000909786</v>
      </c>
      <c r="R31" s="96" t="e">
        <f t="shared" si="7"/>
        <v>#REF!</v>
      </c>
      <c r="S31" s="95"/>
      <c r="T31" s="76">
        <f>T10/$E$31</f>
        <v>3.9211761708941375</v>
      </c>
      <c r="U31" s="96" t="e">
        <f t="shared" si="8"/>
        <v>#REF!</v>
      </c>
      <c r="V31" s="95"/>
      <c r="W31" s="76"/>
      <c r="X31" s="96"/>
      <c r="Y31" s="95"/>
      <c r="Z31" s="76"/>
      <c r="AA31" s="96"/>
      <c r="AB31" s="95"/>
      <c r="AC31" s="76"/>
      <c r="AD31" s="96"/>
      <c r="AE31" s="95"/>
      <c r="AF31" s="76"/>
      <c r="AG31" s="96"/>
      <c r="AH31" s="95"/>
      <c r="AI31" s="76"/>
      <c r="AJ31" s="96"/>
      <c r="AK31" s="76"/>
      <c r="AL31" s="76"/>
      <c r="AM31" s="4"/>
      <c r="AN31" s="4"/>
      <c r="AO31" s="4"/>
    </row>
    <row r="32" spans="1:49" s="126" customFormat="1" x14ac:dyDescent="0.25">
      <c r="A32" s="5" t="s">
        <v>86</v>
      </c>
      <c r="B32" s="3">
        <v>42908</v>
      </c>
      <c r="C32" s="140"/>
      <c r="D32" s="140"/>
      <c r="E32" s="140"/>
      <c r="F32" s="140"/>
      <c r="G32" s="22"/>
      <c r="H32" s="76"/>
      <c r="I32" s="83"/>
      <c r="J32" s="95"/>
      <c r="K32" s="76">
        <f>N32+T32+Q32</f>
        <v>2.59</v>
      </c>
      <c r="L32" s="96" t="e">
        <f t="shared" si="9"/>
        <v>#REF!</v>
      </c>
      <c r="M32" s="95"/>
      <c r="N32" s="76">
        <f>N27</f>
        <v>1.82</v>
      </c>
      <c r="O32" s="96" t="e">
        <f>O31+M32-N32</f>
        <v>#REF!</v>
      </c>
      <c r="P32" s="95"/>
      <c r="Q32" s="76"/>
      <c r="R32" s="96" t="e">
        <f>R31+P32-Q32</f>
        <v>#REF!</v>
      </c>
      <c r="S32" s="95"/>
      <c r="T32" s="76">
        <f>T27</f>
        <v>0.77</v>
      </c>
      <c r="U32" s="96" t="e">
        <f>U31+S32-T32</f>
        <v>#REF!</v>
      </c>
      <c r="V32" s="95"/>
      <c r="W32" s="76"/>
      <c r="X32" s="96"/>
      <c r="Y32" s="95"/>
      <c r="Z32" s="76"/>
      <c r="AA32" s="96"/>
      <c r="AB32" s="95"/>
      <c r="AC32" s="76"/>
      <c r="AD32" s="96"/>
      <c r="AE32" s="95"/>
      <c r="AF32" s="76"/>
      <c r="AG32" s="96"/>
      <c r="AH32" s="95"/>
      <c r="AI32" s="76"/>
      <c r="AJ32" s="96"/>
      <c r="AK32" s="76"/>
      <c r="AL32" s="76"/>
      <c r="AM32" s="4"/>
      <c r="AN32" s="4"/>
      <c r="AO32" s="4"/>
      <c r="AQ32" s="127" t="s">
        <v>94</v>
      </c>
      <c r="AR32" s="141"/>
      <c r="AS32" s="141"/>
      <c r="AT32" s="128"/>
      <c r="AU32" s="127"/>
      <c r="AV32" s="127"/>
      <c r="AW32" s="127"/>
    </row>
    <row r="33" spans="1:49" ht="21" x14ac:dyDescent="0.25">
      <c r="A33" s="44" t="s">
        <v>81</v>
      </c>
      <c r="B33" s="45">
        <v>41843</v>
      </c>
      <c r="C33" s="46"/>
      <c r="D33" s="46"/>
      <c r="E33" s="46"/>
      <c r="F33" s="46"/>
      <c r="G33" s="47"/>
      <c r="H33" s="78"/>
      <c r="I33" s="84"/>
      <c r="J33" s="97" t="e">
        <f>M33+P33+S33</f>
        <v>#REF!</v>
      </c>
      <c r="K33" s="77"/>
      <c r="L33" s="98" t="e">
        <f>L32+J33-K33</f>
        <v>#REF!</v>
      </c>
      <c r="M33" s="116" t="e">
        <f>ROUND(AS17/E31-AR17/D30,2)</f>
        <v>#REF!</v>
      </c>
      <c r="N33" s="77"/>
      <c r="O33" s="98" t="e">
        <f>O32+M33-N33</f>
        <v>#REF!</v>
      </c>
      <c r="P33" s="116" t="e">
        <f>ROUND(AS19/E31-AR19/C30,2)</f>
        <v>#REF!</v>
      </c>
      <c r="Q33" s="77"/>
      <c r="R33" s="98" t="e">
        <f>R32+P33-Q33</f>
        <v>#REF!</v>
      </c>
      <c r="S33" s="116" t="e">
        <f>ROUND(AS18/E31-AR18/D30,2)</f>
        <v>#REF!</v>
      </c>
      <c r="T33" s="77"/>
      <c r="U33" s="98" t="e">
        <f>U32+S33-T33</f>
        <v>#REF!</v>
      </c>
      <c r="V33" s="97"/>
      <c r="W33" s="77"/>
      <c r="X33" s="98"/>
      <c r="Y33" s="97"/>
      <c r="Z33" s="77"/>
      <c r="AA33" s="98"/>
      <c r="AB33" s="97"/>
      <c r="AC33" s="77"/>
      <c r="AD33" s="98"/>
      <c r="AE33" s="97"/>
      <c r="AF33" s="77"/>
      <c r="AG33" s="98"/>
      <c r="AH33" s="97"/>
      <c r="AI33" s="77"/>
      <c r="AJ33" s="98"/>
      <c r="AK33" s="78"/>
      <c r="AL33" s="78"/>
      <c r="AM33" s="48"/>
      <c r="AN33" s="48"/>
      <c r="AO33" s="48"/>
      <c r="AQ33" s="74"/>
      <c r="AR33" s="74"/>
      <c r="AS33" s="74"/>
      <c r="AT33" s="122"/>
      <c r="AU33" s="74"/>
      <c r="AV33" s="74"/>
      <c r="AW33" s="74"/>
    </row>
    <row r="34" spans="1:49" ht="21" x14ac:dyDescent="0.25">
      <c r="A34" s="69" t="s">
        <v>75</v>
      </c>
      <c r="B34" s="70">
        <v>41851</v>
      </c>
      <c r="C34" s="71"/>
      <c r="D34" s="71"/>
      <c r="E34" s="71"/>
      <c r="F34" s="71" t="e">
        <f>VLOOKUP(B34,jul,25,FALSE)</f>
        <v>#REF!</v>
      </c>
      <c r="G34" s="72"/>
      <c r="H34" s="80"/>
      <c r="I34" s="85"/>
      <c r="J34" s="99" t="e">
        <f>M34+P34+S34</f>
        <v>#REF!</v>
      </c>
      <c r="K34" s="79"/>
      <c r="L34" s="100" t="e">
        <f t="shared" si="9"/>
        <v>#REF!</v>
      </c>
      <c r="M34" s="99" t="e">
        <f>ROUND(O10/$F$34-O33,2)</f>
        <v>#REF!</v>
      </c>
      <c r="N34" s="79"/>
      <c r="O34" s="100" t="e">
        <f t="shared" si="6"/>
        <v>#REF!</v>
      </c>
      <c r="P34" s="99" t="e">
        <f>ROUND(R10/$F$34-R33,2)</f>
        <v>#REF!</v>
      </c>
      <c r="Q34" s="79"/>
      <c r="R34" s="100" t="e">
        <f t="shared" si="7"/>
        <v>#REF!</v>
      </c>
      <c r="S34" s="99" t="e">
        <f>ROUND(U10/$F$34-U33,2)</f>
        <v>#REF!</v>
      </c>
      <c r="T34" s="79"/>
      <c r="U34" s="100" t="e">
        <f t="shared" si="8"/>
        <v>#REF!</v>
      </c>
      <c r="V34" s="99"/>
      <c r="W34" s="79"/>
      <c r="X34" s="100"/>
      <c r="Y34" s="99"/>
      <c r="Z34" s="79"/>
      <c r="AA34" s="100"/>
      <c r="AB34" s="99"/>
      <c r="AC34" s="79"/>
      <c r="AD34" s="100"/>
      <c r="AE34" s="99"/>
      <c r="AF34" s="79"/>
      <c r="AG34" s="100"/>
      <c r="AH34" s="99"/>
      <c r="AI34" s="79"/>
      <c r="AJ34" s="100"/>
      <c r="AK34" s="80"/>
      <c r="AL34" s="80"/>
      <c r="AM34" s="68"/>
      <c r="AN34" s="68"/>
      <c r="AO34" s="68"/>
    </row>
    <row r="35" spans="1:49" x14ac:dyDescent="0.25">
      <c r="A35" s="1" t="s">
        <v>42</v>
      </c>
      <c r="B35" s="3">
        <v>41871</v>
      </c>
      <c r="C35" s="43" t="e">
        <f>VLOOKUP(B35,jul,23,FALSE)</f>
        <v>#REF!</v>
      </c>
      <c r="D35" s="43" t="e">
        <f>VLOOKUP(B35,jul,24,FALSE)</f>
        <v>#REF!</v>
      </c>
      <c r="E35" s="43"/>
      <c r="F35" s="43"/>
      <c r="G35" s="4"/>
      <c r="H35" s="76"/>
      <c r="I35" s="83"/>
      <c r="J35" s="95" t="e">
        <f t="shared" si="5"/>
        <v>#REF!</v>
      </c>
      <c r="K35" s="76">
        <f t="shared" si="5"/>
        <v>0</v>
      </c>
      <c r="L35" s="96" t="e">
        <f t="shared" si="9"/>
        <v>#REF!</v>
      </c>
      <c r="M35" s="95" t="e">
        <f>VLOOKUP(B35,splatka7,5,FALSE)</f>
        <v>#REF!</v>
      </c>
      <c r="N35" s="76"/>
      <c r="O35" s="96" t="e">
        <f t="shared" si="6"/>
        <v>#REF!</v>
      </c>
      <c r="P35" s="95" t="e">
        <f>VLOOKUP(B35,jul,3,FALSE)</f>
        <v>#REF!</v>
      </c>
      <c r="Q35" s="76"/>
      <c r="R35" s="96" t="e">
        <f t="shared" si="7"/>
        <v>#REF!</v>
      </c>
      <c r="S35" s="95" t="e">
        <f>VLOOKUP(B35,jul,5,FALSE)</f>
        <v>#REF!</v>
      </c>
      <c r="T35" s="76"/>
      <c r="U35" s="96" t="e">
        <f t="shared" si="8"/>
        <v>#REF!</v>
      </c>
      <c r="V35" s="95"/>
      <c r="W35" s="76"/>
      <c r="X35" s="96">
        <v>0</v>
      </c>
      <c r="Y35" s="95"/>
      <c r="Z35" s="76"/>
      <c r="AA35" s="96">
        <v>0</v>
      </c>
      <c r="AB35" s="95"/>
      <c r="AC35" s="76"/>
      <c r="AD35" s="96">
        <v>0</v>
      </c>
      <c r="AE35" s="95"/>
      <c r="AF35" s="76"/>
      <c r="AG35" s="96">
        <v>0</v>
      </c>
      <c r="AH35" s="95">
        <v>0</v>
      </c>
      <c r="AI35" s="76">
        <v>0</v>
      </c>
      <c r="AJ35" s="96">
        <v>0</v>
      </c>
      <c r="AK35" s="76"/>
      <c r="AL35" s="76">
        <v>0</v>
      </c>
      <c r="AM35" s="4"/>
      <c r="AN35" s="4"/>
      <c r="AO35" s="4"/>
    </row>
    <row r="36" spans="1:49" x14ac:dyDescent="0.25">
      <c r="A36" s="1" t="s">
        <v>42</v>
      </c>
      <c r="B36" s="3">
        <v>41902</v>
      </c>
      <c r="C36" s="43" t="e">
        <f>VLOOKUP(B36,jul,23,FALSE)</f>
        <v>#REF!</v>
      </c>
      <c r="D36" s="43" t="e">
        <f>VLOOKUP(B36,jul,24,FALSE)</f>
        <v>#REF!</v>
      </c>
      <c r="E36" s="43"/>
      <c r="F36" s="43"/>
      <c r="G36" s="4"/>
      <c r="H36" s="76"/>
      <c r="I36" s="83"/>
      <c r="J36" s="95" t="e">
        <f t="shared" si="5"/>
        <v>#REF!</v>
      </c>
      <c r="K36" s="76">
        <f t="shared" si="5"/>
        <v>0</v>
      </c>
      <c r="L36" s="96" t="e">
        <f t="shared" si="9"/>
        <v>#REF!</v>
      </c>
      <c r="M36" s="95" t="e">
        <f>VLOOKUP(B36,splatka7,5,FALSE)</f>
        <v>#REF!</v>
      </c>
      <c r="N36" s="76"/>
      <c r="O36" s="96" t="e">
        <f t="shared" si="6"/>
        <v>#REF!</v>
      </c>
      <c r="P36" s="95" t="e">
        <f>VLOOKUP(B36,jul,3,FALSE)</f>
        <v>#REF!</v>
      </c>
      <c r="Q36" s="76"/>
      <c r="R36" s="96" t="e">
        <f t="shared" si="7"/>
        <v>#REF!</v>
      </c>
      <c r="S36" s="95" t="e">
        <f>VLOOKUP(B36,jul,5,FALSE)</f>
        <v>#REF!</v>
      </c>
      <c r="T36" s="76"/>
      <c r="U36" s="96" t="e">
        <f t="shared" si="8"/>
        <v>#REF!</v>
      </c>
      <c r="V36" s="95"/>
      <c r="W36" s="76"/>
      <c r="X36" s="96">
        <v>0</v>
      </c>
      <c r="Y36" s="95"/>
      <c r="Z36" s="76"/>
      <c r="AA36" s="96">
        <v>0</v>
      </c>
      <c r="AB36" s="95"/>
      <c r="AC36" s="76"/>
      <c r="AD36" s="96">
        <v>0</v>
      </c>
      <c r="AE36" s="95"/>
      <c r="AF36" s="76"/>
      <c r="AG36" s="96">
        <v>0</v>
      </c>
      <c r="AH36" s="95">
        <v>0</v>
      </c>
      <c r="AI36" s="76">
        <v>0</v>
      </c>
      <c r="AJ36" s="96">
        <v>0</v>
      </c>
      <c r="AK36" s="76"/>
      <c r="AL36" s="76">
        <v>0</v>
      </c>
      <c r="AM36" s="4"/>
      <c r="AN36" s="4"/>
      <c r="AO36" s="4"/>
    </row>
    <row r="37" spans="1:49" ht="15.75" thickBot="1" x14ac:dyDescent="0.3">
      <c r="A37" s="2" t="s">
        <v>42</v>
      </c>
      <c r="B37" s="3">
        <v>41932</v>
      </c>
      <c r="C37" s="43" t="e">
        <f>VLOOKUP(B37,jul,23,FALSE)</f>
        <v>#REF!</v>
      </c>
      <c r="D37" s="43" t="e">
        <f>VLOOKUP(B37,jul,24,FALSE)</f>
        <v>#REF!</v>
      </c>
      <c r="E37" s="43"/>
      <c r="F37" s="43"/>
      <c r="G37" s="4"/>
      <c r="H37" s="81"/>
      <c r="I37" s="83"/>
      <c r="J37" s="101" t="e">
        <f t="shared" si="5"/>
        <v>#REF!</v>
      </c>
      <c r="K37" s="102">
        <f t="shared" si="5"/>
        <v>0</v>
      </c>
      <c r="L37" s="103" t="e">
        <f t="shared" si="9"/>
        <v>#REF!</v>
      </c>
      <c r="M37" s="101" t="e">
        <f>VLOOKUP(B37,splatka7,5,FALSE)</f>
        <v>#REF!</v>
      </c>
      <c r="N37" s="102"/>
      <c r="O37" s="103" t="e">
        <f t="shared" si="6"/>
        <v>#REF!</v>
      </c>
      <c r="P37" s="101" t="e">
        <f>VLOOKUP(B37,jul,3,FALSE)</f>
        <v>#REF!</v>
      </c>
      <c r="Q37" s="102"/>
      <c r="R37" s="103" t="e">
        <f t="shared" si="7"/>
        <v>#REF!</v>
      </c>
      <c r="S37" s="101" t="e">
        <f>VLOOKUP(B37,jul,5,FALSE)</f>
        <v>#REF!</v>
      </c>
      <c r="T37" s="102"/>
      <c r="U37" s="103" t="e">
        <f t="shared" si="8"/>
        <v>#REF!</v>
      </c>
      <c r="V37" s="101"/>
      <c r="W37" s="102"/>
      <c r="X37" s="103">
        <v>0</v>
      </c>
      <c r="Y37" s="101"/>
      <c r="Z37" s="102"/>
      <c r="AA37" s="103">
        <v>0</v>
      </c>
      <c r="AB37" s="101"/>
      <c r="AC37" s="102"/>
      <c r="AD37" s="103">
        <v>0</v>
      </c>
      <c r="AE37" s="101"/>
      <c r="AF37" s="102"/>
      <c r="AG37" s="103">
        <v>0</v>
      </c>
      <c r="AH37" s="101">
        <v>0</v>
      </c>
      <c r="AI37" s="102">
        <v>0</v>
      </c>
      <c r="AJ37" s="103">
        <v>0</v>
      </c>
      <c r="AK37" s="76"/>
      <c r="AL37" s="76">
        <v>0</v>
      </c>
      <c r="AM37" s="4"/>
      <c r="AN37" s="4"/>
      <c r="AO37" s="4"/>
    </row>
    <row r="39" spans="1:49" x14ac:dyDescent="0.25">
      <c r="B39" t="s">
        <v>85</v>
      </c>
      <c r="D39">
        <v>311</v>
      </c>
      <c r="H39">
        <v>324</v>
      </c>
      <c r="L39">
        <v>221</v>
      </c>
      <c r="O39">
        <v>563</v>
      </c>
      <c r="R39">
        <v>663</v>
      </c>
    </row>
    <row r="40" spans="1:49" x14ac:dyDescent="0.25">
      <c r="D40" s="105" t="s">
        <v>76</v>
      </c>
      <c r="E40" s="105" t="s">
        <v>77</v>
      </c>
      <c r="H40" s="105" t="s">
        <v>76</v>
      </c>
      <c r="I40" s="105" t="s">
        <v>77</v>
      </c>
      <c r="L40" s="105" t="s">
        <v>76</v>
      </c>
      <c r="M40" s="105" t="s">
        <v>77</v>
      </c>
      <c r="O40" s="105" t="s">
        <v>76</v>
      </c>
      <c r="P40" s="105" t="s">
        <v>77</v>
      </c>
      <c r="R40" s="105" t="s">
        <v>76</v>
      </c>
      <c r="S40" s="105" t="s">
        <v>77</v>
      </c>
      <c r="AQ40" s="155" t="s">
        <v>91</v>
      </c>
      <c r="AR40" s="155"/>
      <c r="AS40" s="155"/>
      <c r="AT40" s="156"/>
      <c r="AU40" s="155"/>
    </row>
    <row r="41" spans="1:49" x14ac:dyDescent="0.25">
      <c r="C41" s="73">
        <v>41735</v>
      </c>
      <c r="D41" s="111" t="e">
        <f>ROUND(J18,2)</f>
        <v>#REF!</v>
      </c>
      <c r="E41" s="106">
        <f>ROUND(K17,2)</f>
        <v>36.42</v>
      </c>
      <c r="H41" s="115"/>
      <c r="I41" s="106"/>
      <c r="L41" s="111"/>
      <c r="O41" s="115"/>
      <c r="R41" s="115"/>
      <c r="AQ41" s="155" t="s">
        <v>92</v>
      </c>
      <c r="AR41" s="155"/>
      <c r="AS41" s="155"/>
      <c r="AT41" s="156"/>
      <c r="AU41" s="155"/>
    </row>
    <row r="42" spans="1:49" x14ac:dyDescent="0.25">
      <c r="C42" s="73">
        <v>41779</v>
      </c>
      <c r="D42" s="112" t="e">
        <f>ROUND(J21,2)</f>
        <v>#REF!</v>
      </c>
      <c r="H42" s="113"/>
      <c r="L42" s="113"/>
      <c r="O42" s="113"/>
      <c r="R42" s="113"/>
    </row>
    <row r="43" spans="1:49" x14ac:dyDescent="0.25">
      <c r="C43" s="73">
        <v>41784</v>
      </c>
      <c r="D43" s="113"/>
      <c r="E43" s="106">
        <f>ROUND(K22,2)</f>
        <v>60.09</v>
      </c>
      <c r="H43" s="112">
        <f>E43</f>
        <v>60.09</v>
      </c>
      <c r="L43" s="113"/>
      <c r="O43" s="113"/>
      <c r="R43" s="113"/>
    </row>
    <row r="44" spans="1:49" x14ac:dyDescent="0.25">
      <c r="B44" t="str">
        <f>A23</f>
        <v>KR realizovaný</v>
      </c>
      <c r="C44" s="73">
        <f>B23</f>
        <v>41784</v>
      </c>
      <c r="D44" s="112" t="e">
        <f>ROUND(J23,2)</f>
        <v>#REF!</v>
      </c>
      <c r="H44" s="113"/>
      <c r="I44" s="106">
        <f>L44</f>
        <v>60.092562224408731</v>
      </c>
      <c r="L44" s="112">
        <f>H22</f>
        <v>60.092562224408731</v>
      </c>
      <c r="O44" s="112" t="e">
        <f>-D44</f>
        <v>#REF!</v>
      </c>
      <c r="R44" s="113"/>
    </row>
    <row r="45" spans="1:49" x14ac:dyDescent="0.25">
      <c r="B45" t="str">
        <f>A24</f>
        <v>KR_nerealizovaný</v>
      </c>
      <c r="C45" s="73">
        <f>B24</f>
        <v>41790</v>
      </c>
      <c r="D45" s="112" t="e">
        <f>ROUND(J24,2)</f>
        <v>#REF!</v>
      </c>
      <c r="H45" s="113"/>
      <c r="L45" s="113"/>
      <c r="O45" s="113"/>
      <c r="R45" s="113"/>
    </row>
    <row r="46" spans="1:49" s="108" customFormat="1" x14ac:dyDescent="0.25">
      <c r="B46" s="119" t="s">
        <v>84</v>
      </c>
      <c r="C46" s="119"/>
      <c r="D46" s="120"/>
      <c r="E46" s="121" t="e">
        <f>ROUND(SUM(D41:D45)-SUM(E41:E45),2)</f>
        <v>#REF!</v>
      </c>
      <c r="F46" s="109" t="e">
        <f>L6/F24-E46</f>
        <v>#REF!</v>
      </c>
      <c r="G46" s="109"/>
      <c r="H46" s="114"/>
      <c r="L46" s="114"/>
      <c r="O46" s="114"/>
      <c r="R46" s="114"/>
      <c r="AQ46"/>
      <c r="AR46"/>
      <c r="AS46"/>
      <c r="AT46" s="123"/>
    </row>
    <row r="47" spans="1:49" x14ac:dyDescent="0.25">
      <c r="C47" s="110">
        <f>B25</f>
        <v>41810</v>
      </c>
      <c r="D47" s="112" t="e">
        <f>ROUND(J25,2)</f>
        <v>#REF!</v>
      </c>
      <c r="H47" s="113"/>
      <c r="L47" s="113"/>
      <c r="O47" s="113"/>
      <c r="R47" s="113"/>
      <c r="AQ47" s="108"/>
      <c r="AR47" s="108"/>
      <c r="AS47" s="108"/>
      <c r="AT47" s="124"/>
    </row>
    <row r="48" spans="1:49" x14ac:dyDescent="0.25">
      <c r="C48" s="110">
        <f>B26</f>
        <v>41812</v>
      </c>
      <c r="D48" s="113"/>
      <c r="E48" s="106">
        <f>ROUND(K26,2)</f>
        <v>60.09</v>
      </c>
      <c r="H48" s="112">
        <f>E48</f>
        <v>60.09</v>
      </c>
      <c r="I48" s="106">
        <f>L48</f>
        <v>62.686784751075152</v>
      </c>
      <c r="L48" s="112">
        <f>H26</f>
        <v>62.686784751075152</v>
      </c>
      <c r="O48" s="113"/>
      <c r="R48" s="113"/>
    </row>
    <row r="49" spans="2:19" x14ac:dyDescent="0.25">
      <c r="B49" t="str">
        <f>A28</f>
        <v>KR realizovaný</v>
      </c>
      <c r="C49" s="73">
        <f>B28</f>
        <v>41812</v>
      </c>
      <c r="D49" s="112" t="e">
        <f>ROUND(J28,2)</f>
        <v>#REF!</v>
      </c>
      <c r="H49" s="113"/>
      <c r="L49" s="113"/>
      <c r="O49" s="113"/>
      <c r="R49" s="113"/>
      <c r="S49" s="106" t="e">
        <f>D49</f>
        <v>#REF!</v>
      </c>
    </row>
    <row r="50" spans="2:19" x14ac:dyDescent="0.25">
      <c r="B50" t="str">
        <f>A29</f>
        <v>KR_nerealizovaný</v>
      </c>
      <c r="C50" s="73">
        <f>B29</f>
        <v>41820</v>
      </c>
      <c r="D50" s="112" t="e">
        <f>ROUND(J29,2)</f>
        <v>#REF!</v>
      </c>
      <c r="H50" s="113"/>
      <c r="L50" s="113"/>
      <c r="O50" s="113"/>
      <c r="R50" s="113"/>
    </row>
    <row r="51" spans="2:19" x14ac:dyDescent="0.25">
      <c r="B51" s="119" t="s">
        <v>84</v>
      </c>
      <c r="C51" s="119"/>
      <c r="D51" s="120"/>
      <c r="E51" s="121" t="e">
        <f>ROUND(E46+SUM(D47:D50)-SUM(E47:E50),2)</f>
        <v>#REF!</v>
      </c>
      <c r="F51" s="75" t="e">
        <f>0/F29-E51</f>
        <v>#REF!</v>
      </c>
      <c r="H51" s="113"/>
      <c r="L51" s="113"/>
      <c r="O51" s="113"/>
      <c r="R51" s="113"/>
    </row>
    <row r="52" spans="2:19" x14ac:dyDescent="0.25">
      <c r="C52" s="73"/>
      <c r="D52" s="112"/>
      <c r="E52" s="106"/>
      <c r="H52" s="113"/>
      <c r="I52" s="106"/>
      <c r="L52" s="113"/>
      <c r="O52" s="113"/>
      <c r="R52" s="113"/>
    </row>
    <row r="53" spans="2:19" x14ac:dyDescent="0.25">
      <c r="B53" s="119"/>
      <c r="C53" s="119"/>
      <c r="D53" s="120"/>
      <c r="E53" s="121"/>
      <c r="F53" s="109"/>
      <c r="H53" s="113"/>
      <c r="L53" s="113"/>
      <c r="O53" s="113"/>
      <c r="R53" s="113"/>
    </row>
    <row r="54" spans="2:19" x14ac:dyDescent="0.25">
      <c r="B54" s="108"/>
      <c r="C54" s="117"/>
      <c r="D54" s="114"/>
      <c r="E54" s="118"/>
      <c r="F54" s="109"/>
      <c r="H54" s="112"/>
      <c r="L54" s="113"/>
      <c r="O54" s="113"/>
      <c r="R54" s="113"/>
    </row>
    <row r="55" spans="2:19" x14ac:dyDescent="0.25">
      <c r="C55" s="73">
        <v>41840</v>
      </c>
      <c r="D55" s="112" t="e">
        <f>ROUND(J30,2)</f>
        <v>#REF!</v>
      </c>
      <c r="H55" s="113"/>
      <c r="I55" s="106">
        <f>L55</f>
        <v>36.391426179991996</v>
      </c>
      <c r="L55" s="112">
        <f>H31</f>
        <v>36.391426179991996</v>
      </c>
      <c r="O55" s="113"/>
      <c r="R55" s="113"/>
    </row>
    <row r="56" spans="2:19" x14ac:dyDescent="0.25">
      <c r="C56" s="73">
        <v>41843</v>
      </c>
      <c r="D56" s="113"/>
      <c r="E56" s="106">
        <f>ROUND(K31+K32,2)</f>
        <v>38.979999999999997</v>
      </c>
      <c r="H56" s="112">
        <f>E56</f>
        <v>38.979999999999997</v>
      </c>
      <c r="L56" s="113"/>
      <c r="O56" s="113"/>
      <c r="R56" s="113"/>
    </row>
    <row r="57" spans="2:19" x14ac:dyDescent="0.25">
      <c r="B57" t="str">
        <f>B49</f>
        <v>KR realizovaný</v>
      </c>
      <c r="C57" s="73">
        <v>41843</v>
      </c>
      <c r="D57" s="112" t="e">
        <f>ROUND(J33,2)</f>
        <v>#REF!</v>
      </c>
      <c r="H57" s="113"/>
      <c r="L57" s="113"/>
      <c r="O57" s="112" t="e">
        <f>-D57</f>
        <v>#REF!</v>
      </c>
      <c r="R57" s="113"/>
    </row>
    <row r="58" spans="2:19" x14ac:dyDescent="0.25">
      <c r="B58" t="str">
        <f>B50</f>
        <v>KR_nerealizovaný</v>
      </c>
      <c r="C58" s="73">
        <v>41851</v>
      </c>
      <c r="D58" s="112" t="e">
        <f>ROUND(J34,3)</f>
        <v>#REF!</v>
      </c>
      <c r="H58" s="113"/>
      <c r="L58" s="113"/>
      <c r="O58" s="113"/>
      <c r="R58" s="113"/>
    </row>
    <row r="59" spans="2:19" x14ac:dyDescent="0.25">
      <c r="B59" s="119" t="s">
        <v>84</v>
      </c>
      <c r="C59" s="119"/>
      <c r="D59" s="120"/>
      <c r="E59" s="121" t="e">
        <f>ROUND(E51+SUM(D54:D58)-SUM(E54:E58),2)</f>
        <v>#REF!</v>
      </c>
      <c r="F59" s="109" t="e">
        <f>ROUND(E59-L10/F34,2)</f>
        <v>#REF!</v>
      </c>
    </row>
    <row r="60" spans="2:19" x14ac:dyDescent="0.25">
      <c r="D60" s="113"/>
    </row>
    <row r="61" spans="2:19" x14ac:dyDescent="0.25">
      <c r="D61" s="113"/>
    </row>
    <row r="62" spans="2:19" x14ac:dyDescent="0.25">
      <c r="D62" s="113"/>
      <c r="G62" s="107"/>
    </row>
    <row r="63" spans="2:19" x14ac:dyDescent="0.25">
      <c r="D63" s="113"/>
    </row>
    <row r="64" spans="2:19" x14ac:dyDescent="0.25">
      <c r="D64" s="11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36"/>
  <sheetViews>
    <sheetView zoomScale="85" zoomScaleNormal="85" workbookViewId="0">
      <pane ySplit="1" topLeftCell="A176" activePane="bottomLeft" state="frozen"/>
      <selection pane="bottomLeft" activeCell="I105" sqref="I105"/>
    </sheetView>
  </sheetViews>
  <sheetFormatPr defaultRowHeight="15" x14ac:dyDescent="0.25"/>
  <cols>
    <col min="1" max="1" width="12.5703125" style="160" customWidth="1"/>
    <col min="2" max="2" width="10.140625" customWidth="1"/>
    <col min="3" max="3" width="9.140625" customWidth="1"/>
    <col min="4" max="4" width="11.7109375" customWidth="1"/>
    <col min="5" max="5" width="10.140625" customWidth="1"/>
    <col min="6" max="6" width="10.140625" style="269" customWidth="1"/>
    <col min="7" max="7" width="10.140625" style="274" customWidth="1"/>
    <col min="8" max="8" width="11.5703125" customWidth="1"/>
    <col min="9" max="9" width="12.140625" customWidth="1"/>
    <col min="10" max="10" width="16.140625" customWidth="1"/>
    <col min="11" max="11" width="10.28515625" customWidth="1"/>
    <col min="12" max="12" width="10.42578125" customWidth="1"/>
    <col min="13" max="13" width="16.28515625" customWidth="1"/>
    <col min="14" max="14" width="14.42578125" customWidth="1"/>
    <col min="15" max="15" width="12.42578125" customWidth="1"/>
    <col min="16" max="16" width="11.5703125" customWidth="1"/>
    <col min="17" max="17" width="9.28515625" bestFit="1" customWidth="1"/>
    <col min="18" max="18" width="12.85546875" customWidth="1"/>
    <col min="19" max="19" width="9.140625" style="233"/>
  </cols>
  <sheetData>
    <row r="1" spans="1:19" s="159" customFormat="1" ht="77.25" customHeight="1" x14ac:dyDescent="0.25">
      <c r="A1" s="242" t="s">
        <v>47</v>
      </c>
      <c r="B1" s="243" t="s">
        <v>103</v>
      </c>
      <c r="C1" s="244" t="s">
        <v>110</v>
      </c>
      <c r="D1" s="243" t="s">
        <v>107</v>
      </c>
      <c r="E1" s="260" t="s">
        <v>111</v>
      </c>
      <c r="F1" s="261" t="s">
        <v>116</v>
      </c>
      <c r="G1" s="270" t="s">
        <v>117</v>
      </c>
      <c r="H1" s="245" t="s">
        <v>48</v>
      </c>
      <c r="I1" s="246" t="s">
        <v>55</v>
      </c>
      <c r="J1" s="245" t="s">
        <v>114</v>
      </c>
      <c r="K1" s="246" t="s">
        <v>105</v>
      </c>
      <c r="L1" s="247" t="s">
        <v>106</v>
      </c>
      <c r="M1" s="247" t="s">
        <v>113</v>
      </c>
      <c r="N1" s="247" t="s">
        <v>115</v>
      </c>
      <c r="O1" s="248" t="s">
        <v>109</v>
      </c>
      <c r="P1" s="248" t="s">
        <v>70</v>
      </c>
      <c r="Q1" s="245" t="s">
        <v>104</v>
      </c>
      <c r="R1" s="246" t="s">
        <v>112</v>
      </c>
      <c r="S1" s="249" t="s">
        <v>108</v>
      </c>
    </row>
    <row r="2" spans="1:19" s="15" customFormat="1" x14ac:dyDescent="0.25">
      <c r="A2" s="250"/>
      <c r="B2" s="251"/>
      <c r="C2" s="252"/>
      <c r="D2" s="253"/>
      <c r="E2" s="254"/>
      <c r="F2" s="262"/>
      <c r="G2" s="271"/>
      <c r="H2" s="253"/>
      <c r="I2" s="255"/>
      <c r="J2" s="253"/>
      <c r="K2" s="255"/>
      <c r="L2" s="255"/>
      <c r="M2" s="255"/>
      <c r="N2" s="255"/>
      <c r="O2" s="255"/>
      <c r="P2" s="255"/>
      <c r="Q2" s="253"/>
      <c r="R2" s="256"/>
      <c r="S2" s="257"/>
    </row>
    <row r="3" spans="1:19" s="15" customFormat="1" x14ac:dyDescent="0.25">
      <c r="A3" s="234">
        <v>41721</v>
      </c>
      <c r="B3" s="235">
        <v>0</v>
      </c>
      <c r="C3" s="236"/>
      <c r="D3" s="235">
        <v>0</v>
      </c>
      <c r="E3" s="236"/>
      <c r="F3" s="263">
        <v>0</v>
      </c>
      <c r="G3" s="238"/>
      <c r="H3" s="237">
        <f>B3+D3</f>
        <v>0</v>
      </c>
      <c r="I3" s="238">
        <f>ROUND((B3+D3+F3)/S27,2)</f>
        <v>0</v>
      </c>
      <c r="J3" s="235">
        <f>SUM(B5:B$22)</f>
        <v>8990.9999999999982</v>
      </c>
      <c r="K3" s="238"/>
      <c r="L3" s="239"/>
      <c r="M3" s="239"/>
      <c r="N3" s="239"/>
      <c r="O3" s="240"/>
      <c r="P3" s="240"/>
      <c r="Q3" s="235">
        <v>18.829999999999998</v>
      </c>
      <c r="R3" s="238"/>
      <c r="S3" s="241">
        <v>27.428999999999998</v>
      </c>
    </row>
    <row r="4" spans="1:19" s="58" customFormat="1" ht="15.75" thickBot="1" x14ac:dyDescent="0.3">
      <c r="A4" s="163">
        <f>EOMONTH(A3,0)</f>
        <v>41729</v>
      </c>
      <c r="B4" s="200"/>
      <c r="C4" s="258">
        <f>ROUND(B4/S3,2)</f>
        <v>0</v>
      </c>
      <c r="D4" s="200"/>
      <c r="E4" s="201">
        <f>ROUND(D3/S3,2)</f>
        <v>0</v>
      </c>
      <c r="F4" s="264"/>
      <c r="G4" s="279">
        <f>ROUND(F3/S4,2)</f>
        <v>0</v>
      </c>
      <c r="H4" s="200"/>
      <c r="I4" s="259"/>
      <c r="J4" s="200"/>
      <c r="K4" s="172">
        <f>ROUND(SUM(B5:B22)/S3,2)</f>
        <v>327.79</v>
      </c>
      <c r="L4" s="173">
        <f>ROUND(SUM(B5:B22)/S4,2)</f>
        <v>327.73</v>
      </c>
      <c r="M4" s="173">
        <f>J3</f>
        <v>8990.9999999999982</v>
      </c>
      <c r="N4" s="173">
        <f>L4-K4</f>
        <v>-6.0000000000002274E-2</v>
      </c>
      <c r="O4" s="174">
        <f>ROUND(P4/S4,2)</f>
        <v>308.27999999999997</v>
      </c>
      <c r="P4" s="174">
        <f>SUM(B5:B21)</f>
        <v>8457.3499999999985</v>
      </c>
      <c r="Q4" s="200"/>
      <c r="R4" s="171">
        <f>Q3/S4</f>
        <v>0.68637457169935112</v>
      </c>
      <c r="S4" s="229">
        <v>27.434000000000001</v>
      </c>
    </row>
    <row r="5" spans="1:19" s="15" customFormat="1" ht="15.75" thickTop="1" x14ac:dyDescent="0.25">
      <c r="A5" s="160">
        <v>41749</v>
      </c>
      <c r="B5" s="275">
        <v>471.85</v>
      </c>
      <c r="C5" s="202"/>
      <c r="D5" s="275">
        <v>66.150000000000006</v>
      </c>
      <c r="E5" s="202"/>
      <c r="F5" s="265">
        <v>16</v>
      </c>
      <c r="G5" s="175"/>
      <c r="H5" s="198">
        <f t="shared" ref="H5:H22" si="0">B5+D5</f>
        <v>538</v>
      </c>
      <c r="I5" s="175"/>
      <c r="J5" s="235">
        <f>SUM(B6:B$22)</f>
        <v>8519.1499999999978</v>
      </c>
      <c r="K5" s="175"/>
      <c r="L5" s="176"/>
      <c r="M5" s="176"/>
      <c r="N5" s="176"/>
      <c r="O5" s="177"/>
      <c r="P5" s="177"/>
      <c r="Q5" s="275">
        <v>22.31</v>
      </c>
      <c r="R5" s="175"/>
      <c r="S5" s="228"/>
    </row>
    <row r="6" spans="1:19" s="15" customFormat="1" x14ac:dyDescent="0.25">
      <c r="A6" s="160">
        <f>EDATE(A5,1)</f>
        <v>41779</v>
      </c>
      <c r="B6" s="275">
        <v>470.83</v>
      </c>
      <c r="C6" s="204"/>
      <c r="D6" s="275">
        <v>67.17</v>
      </c>
      <c r="E6" s="204"/>
      <c r="F6" s="265">
        <v>16</v>
      </c>
      <c r="G6" s="192"/>
      <c r="H6" s="198">
        <f t="shared" si="0"/>
        <v>538</v>
      </c>
      <c r="I6" s="276"/>
      <c r="J6" s="198">
        <f>SUM(B7:B$22)</f>
        <v>8048.32</v>
      </c>
      <c r="K6" s="278"/>
      <c r="L6" s="176"/>
      <c r="M6" s="176"/>
      <c r="N6" s="176"/>
      <c r="O6" s="177"/>
      <c r="P6" s="177"/>
      <c r="Q6" s="275">
        <v>23.18</v>
      </c>
      <c r="R6" s="192"/>
      <c r="S6" s="228"/>
    </row>
    <row r="7" spans="1:19" s="15" customFormat="1" x14ac:dyDescent="0.25">
      <c r="A7" s="160">
        <f t="shared" ref="A7:A22" si="1">EDATE(A6,1)</f>
        <v>41810</v>
      </c>
      <c r="B7" s="275">
        <v>472.42</v>
      </c>
      <c r="C7" s="204"/>
      <c r="D7" s="275">
        <v>65.58</v>
      </c>
      <c r="E7" s="204"/>
      <c r="F7" s="265">
        <v>16</v>
      </c>
      <c r="G7" s="192"/>
      <c r="H7" s="198">
        <f t="shared" si="0"/>
        <v>538</v>
      </c>
      <c r="I7" s="276"/>
      <c r="J7" s="198">
        <f>SUM(B8:B$22)</f>
        <v>7575.9</v>
      </c>
      <c r="K7" s="278"/>
      <c r="L7" s="176"/>
      <c r="M7" s="176"/>
      <c r="N7" s="176"/>
      <c r="O7" s="177"/>
      <c r="P7" s="177"/>
      <c r="Q7" s="275">
        <v>19.84</v>
      </c>
      <c r="R7" s="192"/>
      <c r="S7" s="228"/>
    </row>
    <row r="8" spans="1:19" s="15" customFormat="1" x14ac:dyDescent="0.25">
      <c r="A8" s="160">
        <f t="shared" si="1"/>
        <v>41840</v>
      </c>
      <c r="B8" s="275">
        <v>478.27</v>
      </c>
      <c r="C8" s="204"/>
      <c r="D8" s="275">
        <v>59.73</v>
      </c>
      <c r="E8" s="204"/>
      <c r="F8" s="265">
        <v>16</v>
      </c>
      <c r="G8" s="192"/>
      <c r="H8" s="198">
        <f t="shared" si="0"/>
        <v>538</v>
      </c>
      <c r="I8" s="276"/>
      <c r="J8" s="198">
        <f>SUM(B9:B$22)</f>
        <v>7097.6299999999992</v>
      </c>
      <c r="K8" s="278"/>
      <c r="L8" s="176"/>
      <c r="M8" s="176"/>
      <c r="N8" s="176"/>
      <c r="O8" s="177"/>
      <c r="P8" s="177"/>
      <c r="Q8" s="275">
        <v>20.440000000000001</v>
      </c>
      <c r="R8" s="192"/>
      <c r="S8" s="228"/>
    </row>
    <row r="9" spans="1:19" s="15" customFormat="1" x14ac:dyDescent="0.25">
      <c r="A9" s="160">
        <f t="shared" si="1"/>
        <v>41871</v>
      </c>
      <c r="B9" s="275">
        <v>480.16</v>
      </c>
      <c r="C9" s="204"/>
      <c r="D9" s="275">
        <v>57.84</v>
      </c>
      <c r="E9" s="204"/>
      <c r="F9" s="265">
        <v>16</v>
      </c>
      <c r="G9" s="192"/>
      <c r="H9" s="198">
        <f t="shared" si="0"/>
        <v>538</v>
      </c>
      <c r="I9" s="276"/>
      <c r="J9" s="198">
        <f>SUM(B10:B$22)</f>
        <v>6617.4699999999993</v>
      </c>
      <c r="K9" s="278"/>
      <c r="L9" s="176"/>
      <c r="M9" s="176"/>
      <c r="N9" s="176"/>
      <c r="O9" s="177"/>
      <c r="P9" s="177"/>
      <c r="Q9" s="275">
        <v>19.059999999999999</v>
      </c>
      <c r="R9" s="192"/>
      <c r="S9" s="228"/>
    </row>
    <row r="10" spans="1:19" s="15" customFormat="1" x14ac:dyDescent="0.25">
      <c r="A10" s="160">
        <f t="shared" si="1"/>
        <v>41902</v>
      </c>
      <c r="B10" s="275">
        <v>484.08</v>
      </c>
      <c r="C10" s="205"/>
      <c r="D10" s="275">
        <v>53.92</v>
      </c>
      <c r="E10" s="205"/>
      <c r="F10" s="265">
        <v>16</v>
      </c>
      <c r="G10" s="206"/>
      <c r="H10" s="198">
        <f t="shared" si="0"/>
        <v>538</v>
      </c>
      <c r="I10" s="277"/>
      <c r="J10" s="198">
        <f>SUM(B11:B$22)</f>
        <v>6133.3899999999994</v>
      </c>
      <c r="K10" s="278"/>
      <c r="L10" s="178"/>
      <c r="M10" s="178"/>
      <c r="N10" s="178"/>
      <c r="O10" s="179"/>
      <c r="P10" s="179"/>
      <c r="Q10" s="275">
        <v>16.059999999999999</v>
      </c>
      <c r="R10" s="206"/>
      <c r="S10" s="228"/>
    </row>
    <row r="11" spans="1:19" s="15" customFormat="1" x14ac:dyDescent="0.25">
      <c r="A11" s="160">
        <f t="shared" si="1"/>
        <v>41932</v>
      </c>
      <c r="B11" s="275">
        <v>489.64</v>
      </c>
      <c r="C11" s="205"/>
      <c r="D11" s="275">
        <v>48.36</v>
      </c>
      <c r="E11" s="205"/>
      <c r="F11" s="265">
        <v>16</v>
      </c>
      <c r="G11" s="206"/>
      <c r="H11" s="198">
        <f t="shared" si="0"/>
        <v>538</v>
      </c>
      <c r="I11" s="277"/>
      <c r="J11" s="198">
        <f>SUM(B12:B$22)</f>
        <v>5643.75</v>
      </c>
      <c r="K11" s="278"/>
      <c r="L11" s="178"/>
      <c r="M11" s="178"/>
      <c r="N11" s="178"/>
      <c r="O11" s="179"/>
      <c r="P11" s="179"/>
      <c r="Q11" s="275">
        <v>16.25</v>
      </c>
      <c r="R11" s="206"/>
      <c r="S11" s="228"/>
    </row>
    <row r="12" spans="1:19" s="15" customFormat="1" x14ac:dyDescent="0.25">
      <c r="A12" s="160">
        <f t="shared" si="1"/>
        <v>41963</v>
      </c>
      <c r="B12" s="275">
        <v>492.01</v>
      </c>
      <c r="C12" s="205"/>
      <c r="D12" s="275">
        <v>45.99</v>
      </c>
      <c r="E12" s="205"/>
      <c r="F12" s="265">
        <v>16</v>
      </c>
      <c r="G12" s="206"/>
      <c r="H12" s="198">
        <f t="shared" si="0"/>
        <v>538</v>
      </c>
      <c r="I12" s="277"/>
      <c r="J12" s="198">
        <f>SUM(B13:B$22)</f>
        <v>5151.74</v>
      </c>
      <c r="K12" s="278"/>
      <c r="L12" s="178"/>
      <c r="M12" s="178"/>
      <c r="N12" s="178"/>
      <c r="O12" s="179"/>
      <c r="P12" s="179"/>
      <c r="Q12" s="275">
        <v>13.49</v>
      </c>
      <c r="R12" s="206"/>
      <c r="S12" s="228"/>
    </row>
    <row r="13" spans="1:19" s="15" customFormat="1" x14ac:dyDescent="0.25">
      <c r="A13" s="160">
        <f t="shared" si="1"/>
        <v>41993</v>
      </c>
      <c r="B13" s="275">
        <v>497.38</v>
      </c>
      <c r="C13" s="205"/>
      <c r="D13" s="275">
        <v>40.619999999999997</v>
      </c>
      <c r="E13" s="205"/>
      <c r="F13" s="265">
        <v>16</v>
      </c>
      <c r="G13" s="206"/>
      <c r="H13" s="198">
        <f t="shared" si="0"/>
        <v>538</v>
      </c>
      <c r="I13" s="277"/>
      <c r="J13" s="198">
        <f>SUM(B14:B$22)</f>
        <v>4654.3599999999997</v>
      </c>
      <c r="K13" s="278"/>
      <c r="L13" s="178"/>
      <c r="M13" s="178"/>
      <c r="N13" s="178"/>
      <c r="O13" s="179"/>
      <c r="P13" s="179"/>
      <c r="Q13" s="275">
        <v>13.4</v>
      </c>
      <c r="R13" s="206"/>
      <c r="S13" s="228"/>
    </row>
    <row r="14" spans="1:19" s="15" customFormat="1" x14ac:dyDescent="0.25">
      <c r="A14" s="160">
        <f t="shared" si="1"/>
        <v>42024</v>
      </c>
      <c r="B14" s="275">
        <v>500.07</v>
      </c>
      <c r="C14" s="205"/>
      <c r="D14" s="275">
        <v>37.93</v>
      </c>
      <c r="E14" s="205"/>
      <c r="F14" s="265">
        <v>16</v>
      </c>
      <c r="G14" s="206"/>
      <c r="H14" s="198">
        <f t="shared" si="0"/>
        <v>538</v>
      </c>
      <c r="I14" s="277"/>
      <c r="J14" s="198">
        <f>SUM(B15:B$22)</f>
        <v>4154.29</v>
      </c>
      <c r="K14" s="278"/>
      <c r="L14" s="178"/>
      <c r="M14" s="178"/>
      <c r="N14" s="178"/>
      <c r="O14" s="179"/>
      <c r="P14" s="179"/>
      <c r="Q14" s="275">
        <v>11.96</v>
      </c>
      <c r="R14" s="206"/>
      <c r="S14" s="228"/>
    </row>
    <row r="15" spans="1:19" s="15" customFormat="1" x14ac:dyDescent="0.25">
      <c r="A15" s="160">
        <f t="shared" si="1"/>
        <v>42055</v>
      </c>
      <c r="B15" s="275">
        <v>504.15</v>
      </c>
      <c r="C15" s="205"/>
      <c r="D15" s="275">
        <v>33.85</v>
      </c>
      <c r="E15" s="205"/>
      <c r="F15" s="265">
        <v>16</v>
      </c>
      <c r="G15" s="206"/>
      <c r="H15" s="198">
        <f t="shared" ref="H15:H19" si="2">B15+D15</f>
        <v>538</v>
      </c>
      <c r="I15" s="277"/>
      <c r="J15" s="198">
        <f>SUM(B16:B$22)</f>
        <v>3650.1400000000003</v>
      </c>
      <c r="K15" s="278"/>
      <c r="L15" s="178"/>
      <c r="M15" s="178"/>
      <c r="N15" s="178"/>
      <c r="O15" s="179"/>
      <c r="P15" s="179"/>
      <c r="Q15" s="275">
        <v>7.65</v>
      </c>
      <c r="R15" s="206"/>
      <c r="S15" s="228"/>
    </row>
    <row r="16" spans="1:19" s="15" customFormat="1" x14ac:dyDescent="0.25">
      <c r="A16" s="160">
        <f t="shared" si="1"/>
        <v>42083</v>
      </c>
      <c r="B16" s="275">
        <v>511.15</v>
      </c>
      <c r="C16" s="205"/>
      <c r="D16" s="275">
        <v>26.85</v>
      </c>
      <c r="E16" s="205"/>
      <c r="F16" s="265">
        <v>16</v>
      </c>
      <c r="G16" s="206"/>
      <c r="H16" s="198">
        <f t="shared" si="2"/>
        <v>538</v>
      </c>
      <c r="I16" s="277"/>
      <c r="J16" s="198">
        <f>SUM(B17:B$22)</f>
        <v>3138.9900000000002</v>
      </c>
      <c r="K16" s="278"/>
      <c r="L16" s="178"/>
      <c r="M16" s="178"/>
      <c r="N16" s="178"/>
      <c r="O16" s="179"/>
      <c r="P16" s="179"/>
      <c r="Q16" s="275">
        <v>9.0399999999999991</v>
      </c>
      <c r="R16" s="206"/>
      <c r="S16" s="228"/>
    </row>
    <row r="17" spans="1:19" s="15" customFormat="1" x14ac:dyDescent="0.25">
      <c r="A17" s="160">
        <f t="shared" si="1"/>
        <v>42114</v>
      </c>
      <c r="B17" s="275">
        <v>512.41999999999996</v>
      </c>
      <c r="C17" s="205"/>
      <c r="D17" s="275">
        <v>25.58</v>
      </c>
      <c r="E17" s="205"/>
      <c r="F17" s="265">
        <v>16</v>
      </c>
      <c r="G17" s="206"/>
      <c r="H17" s="198">
        <f t="shared" si="2"/>
        <v>538</v>
      </c>
      <c r="I17" s="277"/>
      <c r="J17" s="198">
        <f>SUM(B18:B$22)</f>
        <v>2626.57</v>
      </c>
      <c r="K17" s="278"/>
      <c r="L17" s="178"/>
      <c r="M17" s="178"/>
      <c r="N17" s="178"/>
      <c r="O17" s="179"/>
      <c r="P17" s="179"/>
      <c r="Q17" s="275">
        <v>6.88</v>
      </c>
      <c r="R17" s="206"/>
      <c r="S17" s="228"/>
    </row>
    <row r="18" spans="1:19" s="15" customFormat="1" x14ac:dyDescent="0.25">
      <c r="A18" s="160">
        <f t="shared" si="1"/>
        <v>42144</v>
      </c>
      <c r="B18" s="275">
        <v>517.29</v>
      </c>
      <c r="C18" s="205"/>
      <c r="D18" s="275">
        <v>20.71</v>
      </c>
      <c r="E18" s="205"/>
      <c r="F18" s="265">
        <v>16</v>
      </c>
      <c r="G18" s="206"/>
      <c r="H18" s="198">
        <f t="shared" si="2"/>
        <v>538</v>
      </c>
      <c r="I18" s="277"/>
      <c r="J18" s="198">
        <f>SUM(B19:B$22)</f>
        <v>2109.2800000000002</v>
      </c>
      <c r="K18" s="278"/>
      <c r="L18" s="178"/>
      <c r="M18" s="178"/>
      <c r="N18" s="178"/>
      <c r="O18" s="179"/>
      <c r="P18" s="179"/>
      <c r="Q18" s="275">
        <v>6.07</v>
      </c>
      <c r="R18" s="206"/>
      <c r="S18" s="228"/>
    </row>
    <row r="19" spans="1:19" s="15" customFormat="1" x14ac:dyDescent="0.25">
      <c r="A19" s="160">
        <f t="shared" si="1"/>
        <v>42175</v>
      </c>
      <c r="B19" s="275">
        <v>520.80999999999995</v>
      </c>
      <c r="C19" s="205"/>
      <c r="D19" s="275">
        <v>17.190000000000001</v>
      </c>
      <c r="E19" s="205"/>
      <c r="F19" s="265">
        <v>16</v>
      </c>
      <c r="G19" s="206"/>
      <c r="H19" s="198">
        <f t="shared" si="2"/>
        <v>538</v>
      </c>
      <c r="I19" s="277"/>
      <c r="J19" s="198">
        <f>SUM(B20:B$22)</f>
        <v>1588.4700000000003</v>
      </c>
      <c r="K19" s="278"/>
      <c r="L19" s="178"/>
      <c r="M19" s="178"/>
      <c r="N19" s="178"/>
      <c r="O19" s="179"/>
      <c r="P19" s="179"/>
      <c r="Q19" s="275">
        <v>4.16</v>
      </c>
      <c r="R19" s="206"/>
      <c r="S19" s="228"/>
    </row>
    <row r="20" spans="1:19" s="15" customFormat="1" x14ac:dyDescent="0.25">
      <c r="A20" s="160">
        <f t="shared" si="1"/>
        <v>42205</v>
      </c>
      <c r="B20" s="275">
        <v>525.48</v>
      </c>
      <c r="C20" s="205"/>
      <c r="D20" s="275">
        <v>12.52</v>
      </c>
      <c r="E20" s="205"/>
      <c r="F20" s="265">
        <v>16</v>
      </c>
      <c r="G20" s="206"/>
      <c r="H20" s="198">
        <f t="shared" si="0"/>
        <v>538</v>
      </c>
      <c r="I20" s="277"/>
      <c r="J20" s="198">
        <f>SUM(B21:B$22)</f>
        <v>1062.99</v>
      </c>
      <c r="K20" s="278"/>
      <c r="L20" s="178"/>
      <c r="M20" s="178"/>
      <c r="N20" s="178"/>
      <c r="O20" s="179"/>
      <c r="P20" s="179"/>
      <c r="Q20" s="275">
        <v>3.06</v>
      </c>
      <c r="R20" s="206"/>
      <c r="S20" s="228"/>
    </row>
    <row r="21" spans="1:19" s="15" customFormat="1" x14ac:dyDescent="0.25">
      <c r="A21" s="160">
        <f t="shared" si="1"/>
        <v>42236</v>
      </c>
      <c r="B21" s="275">
        <v>529.34</v>
      </c>
      <c r="C21" s="205"/>
      <c r="D21" s="275">
        <v>8.66</v>
      </c>
      <c r="E21" s="205"/>
      <c r="F21" s="265">
        <v>16</v>
      </c>
      <c r="G21" s="206"/>
      <c r="H21" s="198">
        <f t="shared" si="0"/>
        <v>538</v>
      </c>
      <c r="I21" s="277"/>
      <c r="J21" s="198">
        <f>SUM(B22:B$22)</f>
        <v>533.65</v>
      </c>
      <c r="K21" s="278"/>
      <c r="L21" s="178"/>
      <c r="M21" s="178"/>
      <c r="N21" s="178"/>
      <c r="O21" s="179"/>
      <c r="P21" s="179"/>
      <c r="Q21" s="275">
        <v>1.54</v>
      </c>
      <c r="R21" s="206"/>
      <c r="S21" s="228"/>
    </row>
    <row r="22" spans="1:19" s="15" customFormat="1" ht="15.75" thickBot="1" x14ac:dyDescent="0.3">
      <c r="A22" s="160">
        <f t="shared" si="1"/>
        <v>42267</v>
      </c>
      <c r="B22" s="275">
        <v>533.65</v>
      </c>
      <c r="C22" s="205"/>
      <c r="D22" s="275">
        <v>4.3499999999999996</v>
      </c>
      <c r="E22" s="205"/>
      <c r="F22" s="265">
        <v>16</v>
      </c>
      <c r="G22" s="206"/>
      <c r="H22" s="198">
        <f t="shared" si="0"/>
        <v>538</v>
      </c>
      <c r="I22" s="206"/>
      <c r="J22" s="203">
        <f>SUM(B22:B$22)-B22</f>
        <v>0</v>
      </c>
      <c r="K22" s="175"/>
      <c r="L22" s="178"/>
      <c r="M22" s="178"/>
      <c r="N22" s="178"/>
      <c r="O22" s="179"/>
      <c r="P22" s="179"/>
      <c r="Q22" s="275">
        <v>0</v>
      </c>
      <c r="R22" s="206"/>
      <c r="S22" s="228"/>
    </row>
    <row r="23" spans="1:19" s="15" customFormat="1" ht="15.75" thickBot="1" x14ac:dyDescent="0.3">
      <c r="A23" s="164"/>
      <c r="B23" s="207">
        <f>SUM(B3:B22)</f>
        <v>8990.9999999999982</v>
      </c>
      <c r="C23" s="208"/>
      <c r="D23" s="207">
        <f>SUM(D3:D22)</f>
        <v>693.00000000000023</v>
      </c>
      <c r="E23" s="208"/>
      <c r="F23" s="207">
        <f>SUM(F3:F22)</f>
        <v>288</v>
      </c>
      <c r="G23" s="209"/>
      <c r="H23" s="207">
        <f>SUM(H3:H22)</f>
        <v>9684</v>
      </c>
      <c r="I23" s="209"/>
      <c r="J23" s="207">
        <f>SUM(J3:J22)</f>
        <v>87297.09</v>
      </c>
      <c r="K23" s="209"/>
      <c r="L23" s="180"/>
      <c r="M23" s="180"/>
      <c r="N23" s="181">
        <f>SUM(N3:N10)</f>
        <v>-6.0000000000002274E-2</v>
      </c>
      <c r="O23" s="182"/>
      <c r="P23" s="182"/>
      <c r="Q23" s="207">
        <f>SUM(Q3:Q22)</f>
        <v>233.22</v>
      </c>
      <c r="R23" s="210"/>
      <c r="S23" s="227"/>
    </row>
    <row r="24" spans="1:19" s="15" customFormat="1" ht="15.75" thickBot="1" x14ac:dyDescent="0.3">
      <c r="A24" s="219"/>
      <c r="B24" s="199"/>
      <c r="C24" s="183"/>
      <c r="D24" s="199"/>
      <c r="E24" s="183"/>
      <c r="F24" s="266"/>
      <c r="G24" s="272"/>
      <c r="H24" s="199"/>
      <c r="I24" s="184"/>
      <c r="J24" s="199"/>
      <c r="K24" s="184"/>
      <c r="L24" s="184"/>
      <c r="M24" s="184"/>
      <c r="N24" s="184"/>
      <c r="O24" s="184"/>
      <c r="P24" s="184"/>
      <c r="Q24" s="199"/>
      <c r="R24" s="184"/>
      <c r="S24" s="230"/>
    </row>
    <row r="25" spans="1:19" s="15" customFormat="1" x14ac:dyDescent="0.25">
      <c r="A25" s="161">
        <f>A3</f>
        <v>41721</v>
      </c>
      <c r="B25" s="197">
        <f>B3</f>
        <v>0</v>
      </c>
      <c r="C25" s="167"/>
      <c r="D25" s="197">
        <f>D3</f>
        <v>0</v>
      </c>
      <c r="E25" s="167"/>
      <c r="F25" s="267">
        <f>F3</f>
        <v>0</v>
      </c>
      <c r="G25" s="168"/>
      <c r="H25" s="197">
        <f>B25+D25</f>
        <v>0</v>
      </c>
      <c r="I25" s="168">
        <f>I3</f>
        <v>0</v>
      </c>
      <c r="J25" s="197">
        <f>J3</f>
        <v>8990.9999999999982</v>
      </c>
      <c r="K25" s="168"/>
      <c r="L25" s="169"/>
      <c r="M25" s="169"/>
      <c r="N25" s="169"/>
      <c r="O25" s="170"/>
      <c r="P25" s="170"/>
      <c r="Q25" s="197">
        <f>Q3</f>
        <v>18.829999999999998</v>
      </c>
      <c r="R25" s="168"/>
      <c r="S25" s="231">
        <f>S3</f>
        <v>27.428999999999998</v>
      </c>
    </row>
    <row r="26" spans="1:19" s="57" customFormat="1" x14ac:dyDescent="0.25">
      <c r="A26" s="165">
        <f>A4</f>
        <v>41729</v>
      </c>
      <c r="B26" s="211"/>
      <c r="C26" s="212">
        <f>C4</f>
        <v>0</v>
      </c>
      <c r="D26" s="211"/>
      <c r="E26" s="213">
        <f>E4</f>
        <v>0</v>
      </c>
      <c r="F26" s="268"/>
      <c r="G26" s="185">
        <f>G4</f>
        <v>0</v>
      </c>
      <c r="H26" s="211"/>
      <c r="I26" s="185"/>
      <c r="J26" s="211"/>
      <c r="K26" s="185">
        <f t="shared" ref="K26:P26" si="3">K4</f>
        <v>327.79</v>
      </c>
      <c r="L26" s="186">
        <f t="shared" si="3"/>
        <v>327.73</v>
      </c>
      <c r="M26" s="186">
        <f t="shared" si="3"/>
        <v>8990.9999999999982</v>
      </c>
      <c r="N26" s="186">
        <f t="shared" si="3"/>
        <v>-6.0000000000002274E-2</v>
      </c>
      <c r="O26" s="187">
        <f t="shared" si="3"/>
        <v>308.27999999999997</v>
      </c>
      <c r="P26" s="187">
        <f t="shared" si="3"/>
        <v>8457.3499999999985</v>
      </c>
      <c r="Q26" s="211"/>
      <c r="R26" s="185">
        <f>R4</f>
        <v>0.68637457169935112</v>
      </c>
      <c r="S26" s="231">
        <f>S4</f>
        <v>27.434000000000001</v>
      </c>
    </row>
    <row r="27" spans="1:19" s="19" customFormat="1" x14ac:dyDescent="0.25">
      <c r="A27" s="162">
        <f>A5</f>
        <v>41749</v>
      </c>
      <c r="B27" s="198">
        <f>B5</f>
        <v>471.85</v>
      </c>
      <c r="C27" s="214"/>
      <c r="D27" s="198">
        <f>D5</f>
        <v>66.150000000000006</v>
      </c>
      <c r="E27" s="214"/>
      <c r="F27" s="265">
        <f>F5</f>
        <v>16</v>
      </c>
      <c r="G27" s="188"/>
      <c r="H27" s="198">
        <f>B27+D27</f>
        <v>538</v>
      </c>
      <c r="I27" s="188">
        <f>ROUND((B27+D27+F27)/S27,2)</f>
        <v>20.190000000000001</v>
      </c>
      <c r="J27" s="198">
        <f>J5</f>
        <v>8519.1499999999978</v>
      </c>
      <c r="K27" s="188"/>
      <c r="L27" s="189"/>
      <c r="M27" s="189"/>
      <c r="N27" s="189"/>
      <c r="O27" s="190"/>
      <c r="P27" s="190"/>
      <c r="Q27" s="198">
        <f>Q5</f>
        <v>22.31</v>
      </c>
      <c r="R27" s="188"/>
      <c r="S27" s="232">
        <v>27.443999999999999</v>
      </c>
    </row>
    <row r="28" spans="1:19" s="59" customFormat="1" ht="15.75" thickBot="1" x14ac:dyDescent="0.3">
      <c r="A28" s="163">
        <f>EOMONTH(A27,0)</f>
        <v>41759</v>
      </c>
      <c r="B28" s="215"/>
      <c r="C28" s="201">
        <f>ROUND(B27/S26,2)</f>
        <v>17.2</v>
      </c>
      <c r="D28" s="215"/>
      <c r="E28" s="201">
        <f>ROUND(D27/S27,2)</f>
        <v>2.41</v>
      </c>
      <c r="F28" s="264"/>
      <c r="G28" s="279">
        <f>ROUND(F27/S28,2)</f>
        <v>0.57999999999999996</v>
      </c>
      <c r="H28" s="215"/>
      <c r="I28" s="191"/>
      <c r="J28" s="215"/>
      <c r="K28" s="191">
        <f>ROUND(SUM(B29:B45)/S26,2)</f>
        <v>310.52999999999997</v>
      </c>
      <c r="L28" s="173">
        <f>ROUND(SUM(B29:B45)/S28,2)</f>
        <v>310.08</v>
      </c>
      <c r="M28" s="173">
        <f>J27</f>
        <v>8519.1499999999978</v>
      </c>
      <c r="N28" s="173">
        <f>L28-K28</f>
        <v>-0.44999999999998863</v>
      </c>
      <c r="O28" s="174">
        <f>ROUND(P28/S28,2)</f>
        <v>310.08</v>
      </c>
      <c r="P28" s="174">
        <f>SUM(B29:B45)</f>
        <v>8519.1499999999978</v>
      </c>
      <c r="Q28" s="215"/>
      <c r="R28" s="191">
        <f>ROUND(Q27/S28,2)</f>
        <v>0.81</v>
      </c>
      <c r="S28" s="229">
        <v>27.474</v>
      </c>
    </row>
    <row r="29" spans="1:19" s="158" customFormat="1" ht="15.75" thickTop="1" x14ac:dyDescent="0.25">
      <c r="A29" s="166">
        <f>A6</f>
        <v>41779</v>
      </c>
      <c r="B29" s="216">
        <f>B6</f>
        <v>470.83</v>
      </c>
      <c r="C29" s="202"/>
      <c r="D29" s="216">
        <f>D6</f>
        <v>67.17</v>
      </c>
      <c r="E29" s="202"/>
      <c r="F29" s="216">
        <f>F6</f>
        <v>16</v>
      </c>
      <c r="G29" s="175"/>
      <c r="H29" s="198">
        <f t="shared" ref="H29:H45" si="4">B29+D29</f>
        <v>538</v>
      </c>
      <c r="I29" s="175"/>
      <c r="J29" s="216">
        <f>J6</f>
        <v>8048.32</v>
      </c>
      <c r="K29" s="175"/>
      <c r="L29" s="176"/>
      <c r="M29" s="176"/>
      <c r="N29" s="176"/>
      <c r="O29" s="177"/>
      <c r="P29" s="177"/>
      <c r="Q29" s="216">
        <f>Q6</f>
        <v>23.18</v>
      </c>
      <c r="R29" s="175"/>
      <c r="S29" s="231"/>
    </row>
    <row r="30" spans="1:19" s="158" customFormat="1" x14ac:dyDescent="0.25">
      <c r="A30" s="166">
        <f t="shared" ref="A30:A37" si="5">A7</f>
        <v>41810</v>
      </c>
      <c r="B30" s="216">
        <f t="shared" ref="B30:B45" si="6">B7</f>
        <v>472.42</v>
      </c>
      <c r="C30" s="204"/>
      <c r="D30" s="216">
        <f t="shared" ref="D30:D45" si="7">D7</f>
        <v>65.58</v>
      </c>
      <c r="E30" s="204"/>
      <c r="F30" s="216">
        <f t="shared" ref="F30:F45" si="8">F7</f>
        <v>16</v>
      </c>
      <c r="G30" s="192"/>
      <c r="H30" s="198">
        <f t="shared" si="4"/>
        <v>538</v>
      </c>
      <c r="I30" s="192"/>
      <c r="J30" s="216">
        <f t="shared" ref="J30:J45" si="9">J7</f>
        <v>7575.9</v>
      </c>
      <c r="K30" s="192"/>
      <c r="L30" s="193"/>
      <c r="M30" s="193"/>
      <c r="N30" s="193"/>
      <c r="O30" s="194"/>
      <c r="P30" s="194"/>
      <c r="Q30" s="216">
        <f t="shared" ref="Q30:Q45" si="10">Q7</f>
        <v>19.84</v>
      </c>
      <c r="R30" s="192"/>
      <c r="S30" s="228"/>
    </row>
    <row r="31" spans="1:19" s="158" customFormat="1" x14ac:dyDescent="0.25">
      <c r="A31" s="166">
        <f t="shared" si="5"/>
        <v>41840</v>
      </c>
      <c r="B31" s="216">
        <f t="shared" si="6"/>
        <v>478.27</v>
      </c>
      <c r="C31" s="204"/>
      <c r="D31" s="216">
        <f t="shared" si="7"/>
        <v>59.73</v>
      </c>
      <c r="E31" s="204"/>
      <c r="F31" s="216">
        <f t="shared" si="8"/>
        <v>16</v>
      </c>
      <c r="G31" s="192"/>
      <c r="H31" s="198">
        <f t="shared" si="4"/>
        <v>538</v>
      </c>
      <c r="I31" s="192"/>
      <c r="J31" s="216">
        <f t="shared" si="9"/>
        <v>7097.6299999999992</v>
      </c>
      <c r="K31" s="192"/>
      <c r="L31" s="193"/>
      <c r="M31" s="193"/>
      <c r="N31" s="193"/>
      <c r="O31" s="194"/>
      <c r="P31" s="194"/>
      <c r="Q31" s="216">
        <f t="shared" si="10"/>
        <v>20.440000000000001</v>
      </c>
      <c r="R31" s="192"/>
      <c r="S31" s="228"/>
    </row>
    <row r="32" spans="1:19" s="158" customFormat="1" x14ac:dyDescent="0.25">
      <c r="A32" s="166">
        <f t="shared" si="5"/>
        <v>41871</v>
      </c>
      <c r="B32" s="216">
        <f t="shared" si="6"/>
        <v>480.16</v>
      </c>
      <c r="C32" s="204"/>
      <c r="D32" s="216">
        <f t="shared" si="7"/>
        <v>57.84</v>
      </c>
      <c r="E32" s="204"/>
      <c r="F32" s="216">
        <f t="shared" si="8"/>
        <v>16</v>
      </c>
      <c r="G32" s="192"/>
      <c r="H32" s="198">
        <f t="shared" si="4"/>
        <v>538</v>
      </c>
      <c r="I32" s="192"/>
      <c r="J32" s="216">
        <f t="shared" si="9"/>
        <v>6617.4699999999993</v>
      </c>
      <c r="K32" s="192"/>
      <c r="L32" s="193"/>
      <c r="M32" s="193"/>
      <c r="N32" s="193"/>
      <c r="O32" s="194"/>
      <c r="P32" s="194"/>
      <c r="Q32" s="216">
        <f t="shared" si="10"/>
        <v>19.059999999999999</v>
      </c>
      <c r="R32" s="192"/>
      <c r="S32" s="228"/>
    </row>
    <row r="33" spans="1:19" s="158" customFormat="1" x14ac:dyDescent="0.25">
      <c r="A33" s="166">
        <f t="shared" si="5"/>
        <v>41902</v>
      </c>
      <c r="B33" s="216">
        <f t="shared" si="6"/>
        <v>484.08</v>
      </c>
      <c r="C33" s="205"/>
      <c r="D33" s="216">
        <f t="shared" si="7"/>
        <v>53.92</v>
      </c>
      <c r="E33" s="205"/>
      <c r="F33" s="216">
        <f t="shared" si="8"/>
        <v>16</v>
      </c>
      <c r="G33" s="206"/>
      <c r="H33" s="198">
        <f t="shared" si="4"/>
        <v>538</v>
      </c>
      <c r="I33" s="206"/>
      <c r="J33" s="216">
        <f t="shared" si="9"/>
        <v>6133.3899999999994</v>
      </c>
      <c r="K33" s="192"/>
      <c r="L33" s="195"/>
      <c r="M33" s="195"/>
      <c r="N33" s="195"/>
      <c r="O33" s="196"/>
      <c r="P33" s="196"/>
      <c r="Q33" s="216">
        <f t="shared" si="10"/>
        <v>16.059999999999999</v>
      </c>
      <c r="R33" s="206"/>
      <c r="S33" s="228"/>
    </row>
    <row r="34" spans="1:19" s="158" customFormat="1" x14ac:dyDescent="0.25">
      <c r="A34" s="166">
        <f t="shared" si="5"/>
        <v>41932</v>
      </c>
      <c r="B34" s="216">
        <f t="shared" si="6"/>
        <v>489.64</v>
      </c>
      <c r="C34" s="205"/>
      <c r="D34" s="216">
        <f t="shared" si="7"/>
        <v>48.36</v>
      </c>
      <c r="E34" s="205"/>
      <c r="F34" s="216">
        <f t="shared" si="8"/>
        <v>16</v>
      </c>
      <c r="G34" s="206"/>
      <c r="H34" s="198">
        <f t="shared" si="4"/>
        <v>538</v>
      </c>
      <c r="I34" s="206"/>
      <c r="J34" s="216">
        <f t="shared" si="9"/>
        <v>5643.75</v>
      </c>
      <c r="K34" s="192"/>
      <c r="L34" s="178"/>
      <c r="M34" s="178"/>
      <c r="N34" s="178"/>
      <c r="O34" s="179"/>
      <c r="P34" s="179"/>
      <c r="Q34" s="216">
        <f t="shared" si="10"/>
        <v>16.25</v>
      </c>
      <c r="R34" s="206"/>
      <c r="S34" s="228"/>
    </row>
    <row r="35" spans="1:19" s="158" customFormat="1" x14ac:dyDescent="0.25">
      <c r="A35" s="166">
        <f t="shared" si="5"/>
        <v>41963</v>
      </c>
      <c r="B35" s="216">
        <f t="shared" si="6"/>
        <v>492.01</v>
      </c>
      <c r="C35" s="205"/>
      <c r="D35" s="216">
        <f t="shared" si="7"/>
        <v>45.99</v>
      </c>
      <c r="E35" s="205"/>
      <c r="F35" s="216">
        <f t="shared" si="8"/>
        <v>16</v>
      </c>
      <c r="G35" s="206"/>
      <c r="H35" s="198">
        <f t="shared" si="4"/>
        <v>538</v>
      </c>
      <c r="I35" s="206"/>
      <c r="J35" s="216">
        <f t="shared" si="9"/>
        <v>5151.74</v>
      </c>
      <c r="K35" s="192"/>
      <c r="L35" s="178"/>
      <c r="M35" s="178"/>
      <c r="N35" s="178"/>
      <c r="O35" s="179"/>
      <c r="P35" s="179"/>
      <c r="Q35" s="216">
        <f t="shared" si="10"/>
        <v>13.49</v>
      </c>
      <c r="R35" s="206"/>
      <c r="S35" s="228"/>
    </row>
    <row r="36" spans="1:19" s="158" customFormat="1" x14ac:dyDescent="0.25">
      <c r="A36" s="166">
        <f t="shared" si="5"/>
        <v>41993</v>
      </c>
      <c r="B36" s="216">
        <f t="shared" si="6"/>
        <v>497.38</v>
      </c>
      <c r="C36" s="205"/>
      <c r="D36" s="216">
        <f t="shared" si="7"/>
        <v>40.619999999999997</v>
      </c>
      <c r="E36" s="205"/>
      <c r="F36" s="216">
        <f t="shared" si="8"/>
        <v>16</v>
      </c>
      <c r="G36" s="206"/>
      <c r="H36" s="198">
        <f t="shared" si="4"/>
        <v>538</v>
      </c>
      <c r="I36" s="206"/>
      <c r="J36" s="216">
        <f t="shared" si="9"/>
        <v>4654.3599999999997</v>
      </c>
      <c r="K36" s="192"/>
      <c r="L36" s="178"/>
      <c r="M36" s="178"/>
      <c r="N36" s="178"/>
      <c r="O36" s="179"/>
      <c r="P36" s="179"/>
      <c r="Q36" s="216">
        <f t="shared" si="10"/>
        <v>13.4</v>
      </c>
      <c r="R36" s="206"/>
      <c r="S36" s="228"/>
    </row>
    <row r="37" spans="1:19" s="158" customFormat="1" x14ac:dyDescent="0.25">
      <c r="A37" s="166">
        <f t="shared" si="5"/>
        <v>42024</v>
      </c>
      <c r="B37" s="216">
        <f t="shared" si="6"/>
        <v>500.07</v>
      </c>
      <c r="C37" s="205"/>
      <c r="D37" s="216">
        <f t="shared" si="7"/>
        <v>37.93</v>
      </c>
      <c r="E37" s="205"/>
      <c r="F37" s="216">
        <f t="shared" si="8"/>
        <v>16</v>
      </c>
      <c r="G37" s="206"/>
      <c r="H37" s="198">
        <f t="shared" si="4"/>
        <v>538</v>
      </c>
      <c r="I37" s="206"/>
      <c r="J37" s="216">
        <f t="shared" si="9"/>
        <v>4154.29</v>
      </c>
      <c r="K37" s="192"/>
      <c r="L37" s="178"/>
      <c r="M37" s="178"/>
      <c r="N37" s="178"/>
      <c r="O37" s="179"/>
      <c r="P37" s="179"/>
      <c r="Q37" s="216">
        <f t="shared" si="10"/>
        <v>11.96</v>
      </c>
      <c r="R37" s="206"/>
      <c r="S37" s="228"/>
    </row>
    <row r="38" spans="1:19" s="15" customFormat="1" x14ac:dyDescent="0.25">
      <c r="A38" s="160">
        <f t="shared" ref="A38:A45" si="11">EDATE(A37,1)</f>
        <v>42055</v>
      </c>
      <c r="B38" s="216">
        <f t="shared" si="6"/>
        <v>504.15</v>
      </c>
      <c r="C38" s="205"/>
      <c r="D38" s="216">
        <f t="shared" si="7"/>
        <v>33.85</v>
      </c>
      <c r="E38" s="205"/>
      <c r="F38" s="216">
        <f t="shared" si="8"/>
        <v>16</v>
      </c>
      <c r="G38" s="206"/>
      <c r="H38" s="198">
        <f t="shared" si="4"/>
        <v>538</v>
      </c>
      <c r="I38" s="206"/>
      <c r="J38" s="216">
        <f t="shared" si="9"/>
        <v>3650.1400000000003</v>
      </c>
      <c r="K38" s="175"/>
      <c r="L38" s="178"/>
      <c r="M38" s="178"/>
      <c r="N38" s="178"/>
      <c r="O38" s="179"/>
      <c r="P38" s="179"/>
      <c r="Q38" s="216">
        <f t="shared" si="10"/>
        <v>7.65</v>
      </c>
      <c r="R38" s="206"/>
      <c r="S38" s="228"/>
    </row>
    <row r="39" spans="1:19" s="15" customFormat="1" x14ac:dyDescent="0.25">
      <c r="A39" s="160">
        <f t="shared" si="11"/>
        <v>42083</v>
      </c>
      <c r="B39" s="216">
        <f t="shared" si="6"/>
        <v>511.15</v>
      </c>
      <c r="C39" s="205"/>
      <c r="D39" s="216">
        <f t="shared" si="7"/>
        <v>26.85</v>
      </c>
      <c r="E39" s="205"/>
      <c r="F39" s="216">
        <f t="shared" si="8"/>
        <v>16</v>
      </c>
      <c r="G39" s="206"/>
      <c r="H39" s="198">
        <f t="shared" si="4"/>
        <v>538</v>
      </c>
      <c r="I39" s="206"/>
      <c r="J39" s="216">
        <f t="shared" si="9"/>
        <v>3138.9900000000002</v>
      </c>
      <c r="K39" s="175"/>
      <c r="L39" s="178"/>
      <c r="M39" s="178"/>
      <c r="N39" s="178"/>
      <c r="O39" s="179"/>
      <c r="P39" s="179"/>
      <c r="Q39" s="216">
        <f t="shared" si="10"/>
        <v>9.0399999999999991</v>
      </c>
      <c r="R39" s="206"/>
      <c r="S39" s="228"/>
    </row>
    <row r="40" spans="1:19" s="15" customFormat="1" x14ac:dyDescent="0.25">
      <c r="A40" s="160">
        <f t="shared" si="11"/>
        <v>42114</v>
      </c>
      <c r="B40" s="216">
        <f t="shared" si="6"/>
        <v>512.41999999999996</v>
      </c>
      <c r="C40" s="205"/>
      <c r="D40" s="216">
        <f t="shared" si="7"/>
        <v>25.58</v>
      </c>
      <c r="E40" s="205"/>
      <c r="F40" s="216">
        <f t="shared" si="8"/>
        <v>16</v>
      </c>
      <c r="G40" s="206"/>
      <c r="H40" s="198">
        <f t="shared" si="4"/>
        <v>538</v>
      </c>
      <c r="I40" s="206"/>
      <c r="J40" s="216">
        <f t="shared" si="9"/>
        <v>2626.57</v>
      </c>
      <c r="K40" s="175"/>
      <c r="L40" s="178"/>
      <c r="M40" s="178"/>
      <c r="N40" s="178"/>
      <c r="O40" s="179"/>
      <c r="P40" s="179"/>
      <c r="Q40" s="216">
        <f t="shared" si="10"/>
        <v>6.88</v>
      </c>
      <c r="R40" s="206"/>
      <c r="S40" s="228"/>
    </row>
    <row r="41" spans="1:19" s="15" customFormat="1" x14ac:dyDescent="0.25">
      <c r="A41" s="160">
        <f t="shared" si="11"/>
        <v>42144</v>
      </c>
      <c r="B41" s="216">
        <f t="shared" si="6"/>
        <v>517.29</v>
      </c>
      <c r="C41" s="205"/>
      <c r="D41" s="216">
        <f t="shared" si="7"/>
        <v>20.71</v>
      </c>
      <c r="E41" s="205"/>
      <c r="F41" s="216">
        <f t="shared" si="8"/>
        <v>16</v>
      </c>
      <c r="G41" s="206"/>
      <c r="H41" s="198">
        <f t="shared" si="4"/>
        <v>538</v>
      </c>
      <c r="I41" s="206"/>
      <c r="J41" s="216">
        <f t="shared" si="9"/>
        <v>2109.2800000000002</v>
      </c>
      <c r="K41" s="175"/>
      <c r="L41" s="178"/>
      <c r="M41" s="178"/>
      <c r="N41" s="178"/>
      <c r="O41" s="179"/>
      <c r="P41" s="179"/>
      <c r="Q41" s="216">
        <f t="shared" si="10"/>
        <v>6.07</v>
      </c>
      <c r="R41" s="206"/>
      <c r="S41" s="228"/>
    </row>
    <row r="42" spans="1:19" s="15" customFormat="1" x14ac:dyDescent="0.25">
      <c r="A42" s="160">
        <f t="shared" si="11"/>
        <v>42175</v>
      </c>
      <c r="B42" s="216">
        <f t="shared" si="6"/>
        <v>520.80999999999995</v>
      </c>
      <c r="C42" s="205"/>
      <c r="D42" s="216">
        <f t="shared" si="7"/>
        <v>17.190000000000001</v>
      </c>
      <c r="E42" s="205"/>
      <c r="F42" s="216">
        <f t="shared" si="8"/>
        <v>16</v>
      </c>
      <c r="G42" s="206"/>
      <c r="H42" s="198">
        <f t="shared" si="4"/>
        <v>538</v>
      </c>
      <c r="I42" s="206"/>
      <c r="J42" s="216">
        <f t="shared" si="9"/>
        <v>1588.4700000000003</v>
      </c>
      <c r="K42" s="175"/>
      <c r="L42" s="178"/>
      <c r="M42" s="178"/>
      <c r="N42" s="178"/>
      <c r="O42" s="179"/>
      <c r="P42" s="179"/>
      <c r="Q42" s="216">
        <f t="shared" si="10"/>
        <v>4.16</v>
      </c>
      <c r="R42" s="206"/>
      <c r="S42" s="228"/>
    </row>
    <row r="43" spans="1:19" s="158" customFormat="1" x14ac:dyDescent="0.25">
      <c r="A43" s="160">
        <f t="shared" si="11"/>
        <v>42205</v>
      </c>
      <c r="B43" s="216">
        <f t="shared" si="6"/>
        <v>525.48</v>
      </c>
      <c r="C43" s="205"/>
      <c r="D43" s="216">
        <f t="shared" si="7"/>
        <v>12.52</v>
      </c>
      <c r="E43" s="205"/>
      <c r="F43" s="216">
        <f t="shared" si="8"/>
        <v>16</v>
      </c>
      <c r="G43" s="206"/>
      <c r="H43" s="198">
        <f t="shared" si="4"/>
        <v>538</v>
      </c>
      <c r="I43" s="206"/>
      <c r="J43" s="216">
        <f t="shared" si="9"/>
        <v>1062.99</v>
      </c>
      <c r="K43" s="192"/>
      <c r="L43" s="178"/>
      <c r="M43" s="178"/>
      <c r="N43" s="178"/>
      <c r="O43" s="179"/>
      <c r="P43" s="179"/>
      <c r="Q43" s="216">
        <f t="shared" si="10"/>
        <v>3.06</v>
      </c>
      <c r="R43" s="206"/>
      <c r="S43" s="228"/>
    </row>
    <row r="44" spans="1:19" s="158" customFormat="1" x14ac:dyDescent="0.25">
      <c r="A44" s="160">
        <f t="shared" si="11"/>
        <v>42236</v>
      </c>
      <c r="B44" s="216">
        <f t="shared" si="6"/>
        <v>529.34</v>
      </c>
      <c r="C44" s="205"/>
      <c r="D44" s="216">
        <f t="shared" si="7"/>
        <v>8.66</v>
      </c>
      <c r="E44" s="205"/>
      <c r="F44" s="216">
        <f t="shared" si="8"/>
        <v>16</v>
      </c>
      <c r="G44" s="206"/>
      <c r="H44" s="198">
        <f t="shared" si="4"/>
        <v>538</v>
      </c>
      <c r="I44" s="206"/>
      <c r="J44" s="216">
        <f t="shared" si="9"/>
        <v>533.65</v>
      </c>
      <c r="K44" s="192"/>
      <c r="L44" s="178"/>
      <c r="M44" s="178"/>
      <c r="N44" s="178"/>
      <c r="O44" s="179"/>
      <c r="P44" s="179"/>
      <c r="Q44" s="216">
        <f t="shared" si="10"/>
        <v>1.54</v>
      </c>
      <c r="R44" s="206"/>
      <c r="S44" s="228"/>
    </row>
    <row r="45" spans="1:19" s="158" customFormat="1" ht="15.75" thickBot="1" x14ac:dyDescent="0.3">
      <c r="A45" s="160">
        <f t="shared" si="11"/>
        <v>42267</v>
      </c>
      <c r="B45" s="216">
        <f t="shared" si="6"/>
        <v>533.65</v>
      </c>
      <c r="C45" s="205"/>
      <c r="D45" s="216">
        <f t="shared" si="7"/>
        <v>4.3499999999999996</v>
      </c>
      <c r="E45" s="205"/>
      <c r="F45" s="216">
        <f t="shared" si="8"/>
        <v>16</v>
      </c>
      <c r="G45" s="206"/>
      <c r="H45" s="198">
        <f t="shared" si="4"/>
        <v>538</v>
      </c>
      <c r="I45" s="206"/>
      <c r="J45" s="216">
        <f t="shared" si="9"/>
        <v>0</v>
      </c>
      <c r="K45" s="192"/>
      <c r="L45" s="178"/>
      <c r="M45" s="178"/>
      <c r="N45" s="178"/>
      <c r="O45" s="179"/>
      <c r="P45" s="179"/>
      <c r="Q45" s="216">
        <f t="shared" si="10"/>
        <v>0</v>
      </c>
      <c r="R45" s="206"/>
      <c r="S45" s="228"/>
    </row>
    <row r="46" spans="1:19" s="158" customFormat="1" ht="15.75" thickBot="1" x14ac:dyDescent="0.3">
      <c r="A46" s="164"/>
      <c r="B46" s="207">
        <f>SUM(B25:B45)</f>
        <v>8990.9999999999982</v>
      </c>
      <c r="C46" s="208"/>
      <c r="D46" s="207">
        <f>SUM(D25:D45)</f>
        <v>693.00000000000023</v>
      </c>
      <c r="E46" s="208"/>
      <c r="F46" s="207">
        <f>SUM(F25:F45)</f>
        <v>288</v>
      </c>
      <c r="G46" s="209"/>
      <c r="H46" s="207">
        <f>SUM(H25:H45)</f>
        <v>9684</v>
      </c>
      <c r="I46" s="209"/>
      <c r="J46" s="207">
        <f>SUM(J25:J45)</f>
        <v>87297.09</v>
      </c>
      <c r="K46" s="209"/>
      <c r="L46" s="180"/>
      <c r="M46" s="180"/>
      <c r="N46" s="181">
        <f>SUM(N26:N33)</f>
        <v>-0.50999999999999091</v>
      </c>
      <c r="O46" s="182"/>
      <c r="P46" s="182"/>
      <c r="Q46" s="207">
        <f>SUM(Q25:Q45)</f>
        <v>233.22</v>
      </c>
      <c r="R46" s="210"/>
      <c r="S46" s="227"/>
    </row>
    <row r="47" spans="1:19" ht="15.75" thickBot="1" x14ac:dyDescent="0.3">
      <c r="A47" s="219"/>
      <c r="B47" s="199"/>
      <c r="C47" s="183"/>
      <c r="D47" s="199"/>
      <c r="E47" s="183"/>
      <c r="F47" s="266"/>
      <c r="G47" s="272"/>
      <c r="H47" s="199"/>
      <c r="I47" s="184"/>
      <c r="J47" s="199"/>
      <c r="K47" s="184"/>
      <c r="L47" s="184"/>
      <c r="M47" s="184"/>
      <c r="N47" s="184"/>
      <c r="O47" s="184"/>
      <c r="P47" s="184"/>
      <c r="Q47" s="199"/>
      <c r="R47" s="184"/>
      <c r="S47" s="230"/>
    </row>
    <row r="48" spans="1:19" x14ac:dyDescent="0.25">
      <c r="A48" s="161">
        <f>A25</f>
        <v>41721</v>
      </c>
      <c r="B48" s="197">
        <f>B26</f>
        <v>0</v>
      </c>
      <c r="C48" s="167"/>
      <c r="D48" s="197">
        <f>D26</f>
        <v>0</v>
      </c>
      <c r="E48" s="167"/>
      <c r="F48" s="197">
        <f>F26</f>
        <v>0</v>
      </c>
      <c r="G48" s="168"/>
      <c r="H48" s="197">
        <f>B48+D48</f>
        <v>0</v>
      </c>
      <c r="I48" s="168">
        <f>I25</f>
        <v>0</v>
      </c>
      <c r="J48" s="197">
        <f>J25</f>
        <v>8990.9999999999982</v>
      </c>
      <c r="K48" s="168"/>
      <c r="L48" s="169"/>
      <c r="M48" s="169"/>
      <c r="N48" s="169"/>
      <c r="O48" s="170"/>
      <c r="P48" s="170"/>
      <c r="Q48" s="197">
        <f>Q25</f>
        <v>18.829999999999998</v>
      </c>
      <c r="R48" s="168"/>
      <c r="S48" s="231">
        <f>S25</f>
        <v>27.428999999999998</v>
      </c>
    </row>
    <row r="49" spans="1:19" x14ac:dyDescent="0.25">
      <c r="A49" s="165">
        <f>A26</f>
        <v>41729</v>
      </c>
      <c r="B49" s="211"/>
      <c r="C49" s="212">
        <f>C26</f>
        <v>0</v>
      </c>
      <c r="D49" s="211"/>
      <c r="E49" s="213">
        <f>E26</f>
        <v>0</v>
      </c>
      <c r="F49" s="211"/>
      <c r="G49" s="273">
        <f>G26</f>
        <v>0</v>
      </c>
      <c r="H49" s="211"/>
      <c r="I49" s="185"/>
      <c r="J49" s="211"/>
      <c r="K49" s="185">
        <f t="shared" ref="K49:P49" si="12">K26</f>
        <v>327.79</v>
      </c>
      <c r="L49" s="186">
        <f t="shared" si="12"/>
        <v>327.73</v>
      </c>
      <c r="M49" s="186">
        <f t="shared" si="12"/>
        <v>8990.9999999999982</v>
      </c>
      <c r="N49" s="186">
        <f t="shared" si="12"/>
        <v>-6.0000000000002274E-2</v>
      </c>
      <c r="O49" s="187">
        <f t="shared" si="12"/>
        <v>308.27999999999997</v>
      </c>
      <c r="P49" s="187">
        <f t="shared" si="12"/>
        <v>8457.3499999999985</v>
      </c>
      <c r="Q49" s="211"/>
      <c r="R49" s="185">
        <f>R27</f>
        <v>0</v>
      </c>
      <c r="S49" s="231">
        <f>S26</f>
        <v>27.434000000000001</v>
      </c>
    </row>
    <row r="50" spans="1:19" x14ac:dyDescent="0.25">
      <c r="A50" s="162">
        <f>A27</f>
        <v>41749</v>
      </c>
      <c r="B50" s="198">
        <f>B27</f>
        <v>471.85</v>
      </c>
      <c r="C50" s="214"/>
      <c r="D50" s="198">
        <f>D27</f>
        <v>66.150000000000006</v>
      </c>
      <c r="E50" s="214"/>
      <c r="F50" s="198">
        <f>F27</f>
        <v>16</v>
      </c>
      <c r="G50" s="188"/>
      <c r="H50" s="198">
        <f>B50+D50</f>
        <v>538</v>
      </c>
      <c r="I50" s="188">
        <f>I27</f>
        <v>20.190000000000001</v>
      </c>
      <c r="J50" s="198">
        <f>J27</f>
        <v>8519.1499999999978</v>
      </c>
      <c r="K50" s="188"/>
      <c r="L50" s="189"/>
      <c r="M50" s="189"/>
      <c r="N50" s="189"/>
      <c r="O50" s="190"/>
      <c r="P50" s="190"/>
      <c r="Q50" s="198">
        <f>Q27</f>
        <v>22.31</v>
      </c>
      <c r="R50" s="188"/>
      <c r="S50" s="231">
        <f>S27</f>
        <v>27.443999999999999</v>
      </c>
    </row>
    <row r="51" spans="1:19" x14ac:dyDescent="0.25">
      <c r="A51" s="165">
        <f>A28</f>
        <v>41759</v>
      </c>
      <c r="B51" s="217"/>
      <c r="C51" s="212">
        <f>C28</f>
        <v>17.2</v>
      </c>
      <c r="D51" s="217"/>
      <c r="E51" s="213">
        <f>E28</f>
        <v>2.41</v>
      </c>
      <c r="F51" s="217"/>
      <c r="G51" s="273">
        <f>G28</f>
        <v>0.57999999999999996</v>
      </c>
      <c r="H51" s="217"/>
      <c r="I51" s="218"/>
      <c r="J51" s="217"/>
      <c r="K51" s="218">
        <f t="shared" ref="K51:P51" si="13">K28</f>
        <v>310.52999999999997</v>
      </c>
      <c r="L51" s="186">
        <f t="shared" si="13"/>
        <v>310.08</v>
      </c>
      <c r="M51" s="186">
        <f t="shared" si="13"/>
        <v>8519.1499999999978</v>
      </c>
      <c r="N51" s="186">
        <f t="shared" si="13"/>
        <v>-0.44999999999998863</v>
      </c>
      <c r="O51" s="187">
        <f t="shared" si="13"/>
        <v>310.08</v>
      </c>
      <c r="P51" s="187">
        <f t="shared" si="13"/>
        <v>8519.1499999999978</v>
      </c>
      <c r="Q51" s="217"/>
      <c r="R51" s="218">
        <f>R28</f>
        <v>0.81</v>
      </c>
      <c r="S51" s="231">
        <f>S28</f>
        <v>27.474</v>
      </c>
    </row>
    <row r="52" spans="1:19" x14ac:dyDescent="0.25">
      <c r="A52" s="166">
        <f>A29</f>
        <v>41779</v>
      </c>
      <c r="B52" s="203">
        <f>B29</f>
        <v>470.83</v>
      </c>
      <c r="C52" s="214"/>
      <c r="D52" s="203">
        <f>D29</f>
        <v>67.17</v>
      </c>
      <c r="E52" s="214"/>
      <c r="F52" s="203">
        <f>F29</f>
        <v>16</v>
      </c>
      <c r="G52" s="188"/>
      <c r="H52" s="198">
        <f>B52+D52</f>
        <v>538</v>
      </c>
      <c r="I52" s="188">
        <f>ROUND((B52+D52+F52)/S52,2)</f>
        <v>20.170000000000002</v>
      </c>
      <c r="J52" s="203">
        <f>J29</f>
        <v>8048.32</v>
      </c>
      <c r="K52" s="175"/>
      <c r="L52" s="176"/>
      <c r="M52" s="176"/>
      <c r="N52" s="176"/>
      <c r="O52" s="177"/>
      <c r="P52" s="177"/>
      <c r="Q52" s="203">
        <f>Q29</f>
        <v>23.18</v>
      </c>
      <c r="R52" s="188"/>
      <c r="S52" s="231">
        <v>27.472000000000001</v>
      </c>
    </row>
    <row r="53" spans="1:19" ht="15.75" thickBot="1" x14ac:dyDescent="0.3">
      <c r="A53" s="163">
        <f>EOMONTH(A52,0)</f>
        <v>41790</v>
      </c>
      <c r="B53" s="215"/>
      <c r="C53" s="201">
        <f>ROUND(B52/S51,2)</f>
        <v>17.14</v>
      </c>
      <c r="D53" s="215"/>
      <c r="E53" s="201">
        <f>ROUND(D52/S52,2)</f>
        <v>2.4500000000000002</v>
      </c>
      <c r="F53" s="215"/>
      <c r="G53" s="279">
        <f>ROUND(F52/S53,2)</f>
        <v>0.57999999999999996</v>
      </c>
      <c r="H53" s="215"/>
      <c r="I53" s="191"/>
      <c r="J53" s="215"/>
      <c r="K53" s="191">
        <f>ROUND(SUM(B54:B69)/S51,2)</f>
        <v>292.94</v>
      </c>
      <c r="L53" s="173">
        <f>ROUND(SUM(B54:B69)/S53,2)</f>
        <v>292.99</v>
      </c>
      <c r="M53" s="173">
        <f>J52</f>
        <v>8048.32</v>
      </c>
      <c r="N53" s="173">
        <f>L53-K53</f>
        <v>5.0000000000011369E-2</v>
      </c>
      <c r="O53" s="174">
        <f>ROUND(P53/S53,2)</f>
        <v>292.99</v>
      </c>
      <c r="P53" s="174">
        <f>SUM(B54:B69)</f>
        <v>8048.32</v>
      </c>
      <c r="Q53" s="215"/>
      <c r="R53" s="191">
        <f>ROUND(Q52/S53,2)</f>
        <v>0.84</v>
      </c>
      <c r="S53" s="229">
        <v>27.47</v>
      </c>
    </row>
    <row r="54" spans="1:19" ht="15.75" thickTop="1" x14ac:dyDescent="0.25">
      <c r="A54" s="166">
        <f t="shared" ref="A54" si="14">A30</f>
        <v>41810</v>
      </c>
      <c r="B54" s="216">
        <f t="shared" ref="B54:B69" si="15">B30</f>
        <v>472.42</v>
      </c>
      <c r="C54" s="204"/>
      <c r="D54" s="216">
        <f t="shared" ref="D54:F69" si="16">D30</f>
        <v>65.58</v>
      </c>
      <c r="E54" s="204"/>
      <c r="F54" s="216">
        <f t="shared" si="16"/>
        <v>16</v>
      </c>
      <c r="G54" s="192"/>
      <c r="H54" s="198">
        <f t="shared" ref="H54:H69" si="17">B54+D54</f>
        <v>538</v>
      </c>
      <c r="I54" s="192"/>
      <c r="J54" s="216">
        <f t="shared" ref="J54:J69" si="18">J30</f>
        <v>7575.9</v>
      </c>
      <c r="K54" s="175"/>
      <c r="L54" s="193"/>
      <c r="M54" s="193"/>
      <c r="N54" s="193"/>
      <c r="O54" s="194"/>
      <c r="P54" s="194"/>
      <c r="Q54" s="216">
        <f t="shared" ref="Q54:Q69" si="19">Q30</f>
        <v>19.84</v>
      </c>
      <c r="R54" s="192"/>
      <c r="S54" s="228"/>
    </row>
    <row r="55" spans="1:19" x14ac:dyDescent="0.25">
      <c r="A55" s="166">
        <f t="shared" ref="A55:A61" si="20">A31</f>
        <v>41840</v>
      </c>
      <c r="B55" s="216">
        <f t="shared" si="15"/>
        <v>478.27</v>
      </c>
      <c r="C55" s="204"/>
      <c r="D55" s="216">
        <f t="shared" si="16"/>
        <v>59.73</v>
      </c>
      <c r="E55" s="204"/>
      <c r="F55" s="216">
        <f t="shared" si="16"/>
        <v>16</v>
      </c>
      <c r="G55" s="192"/>
      <c r="H55" s="198">
        <f t="shared" si="17"/>
        <v>538</v>
      </c>
      <c r="I55" s="192"/>
      <c r="J55" s="216">
        <f t="shared" si="18"/>
        <v>7097.6299999999992</v>
      </c>
      <c r="K55" s="192"/>
      <c r="L55" s="193"/>
      <c r="M55" s="193"/>
      <c r="N55" s="193"/>
      <c r="O55" s="194"/>
      <c r="P55" s="194"/>
      <c r="Q55" s="216">
        <f t="shared" si="19"/>
        <v>20.440000000000001</v>
      </c>
      <c r="R55" s="192"/>
      <c r="S55" s="228"/>
    </row>
    <row r="56" spans="1:19" x14ac:dyDescent="0.25">
      <c r="A56" s="166">
        <f t="shared" si="20"/>
        <v>41871</v>
      </c>
      <c r="B56" s="216">
        <f t="shared" si="15"/>
        <v>480.16</v>
      </c>
      <c r="C56" s="204"/>
      <c r="D56" s="216">
        <f t="shared" si="16"/>
        <v>57.84</v>
      </c>
      <c r="E56" s="204"/>
      <c r="F56" s="216">
        <f t="shared" si="16"/>
        <v>16</v>
      </c>
      <c r="G56" s="192"/>
      <c r="H56" s="198">
        <f t="shared" si="17"/>
        <v>538</v>
      </c>
      <c r="I56" s="192"/>
      <c r="J56" s="216">
        <f t="shared" si="18"/>
        <v>6617.4699999999993</v>
      </c>
      <c r="K56" s="192"/>
      <c r="L56" s="193"/>
      <c r="M56" s="193"/>
      <c r="N56" s="193"/>
      <c r="O56" s="194"/>
      <c r="P56" s="194"/>
      <c r="Q56" s="216">
        <f t="shared" si="19"/>
        <v>19.059999999999999</v>
      </c>
      <c r="R56" s="192"/>
      <c r="S56" s="228"/>
    </row>
    <row r="57" spans="1:19" x14ac:dyDescent="0.25">
      <c r="A57" s="166">
        <f t="shared" si="20"/>
        <v>41902</v>
      </c>
      <c r="B57" s="216">
        <f t="shared" si="15"/>
        <v>484.08</v>
      </c>
      <c r="C57" s="205"/>
      <c r="D57" s="216">
        <f t="shared" si="16"/>
        <v>53.92</v>
      </c>
      <c r="E57" s="205"/>
      <c r="F57" s="216">
        <f t="shared" si="16"/>
        <v>16</v>
      </c>
      <c r="G57" s="206"/>
      <c r="H57" s="198">
        <f t="shared" si="17"/>
        <v>538</v>
      </c>
      <c r="I57" s="206"/>
      <c r="J57" s="216">
        <f t="shared" si="18"/>
        <v>6133.3899999999994</v>
      </c>
      <c r="K57" s="192"/>
      <c r="L57" s="195"/>
      <c r="M57" s="195"/>
      <c r="N57" s="195"/>
      <c r="O57" s="196"/>
      <c r="P57" s="196"/>
      <c r="Q57" s="216">
        <f t="shared" si="19"/>
        <v>16.059999999999999</v>
      </c>
      <c r="R57" s="206"/>
      <c r="S57" s="228"/>
    </row>
    <row r="58" spans="1:19" x14ac:dyDescent="0.25">
      <c r="A58" s="166">
        <f t="shared" si="20"/>
        <v>41932</v>
      </c>
      <c r="B58" s="216">
        <f t="shared" si="15"/>
        <v>489.64</v>
      </c>
      <c r="C58" s="205"/>
      <c r="D58" s="216">
        <f t="shared" si="16"/>
        <v>48.36</v>
      </c>
      <c r="E58" s="205"/>
      <c r="F58" s="216">
        <f t="shared" si="16"/>
        <v>16</v>
      </c>
      <c r="G58" s="206"/>
      <c r="H58" s="198">
        <f t="shared" si="17"/>
        <v>538</v>
      </c>
      <c r="I58" s="206"/>
      <c r="J58" s="216">
        <f t="shared" si="18"/>
        <v>5643.75</v>
      </c>
      <c r="K58" s="192"/>
      <c r="L58" s="178"/>
      <c r="M58" s="178"/>
      <c r="N58" s="178"/>
      <c r="O58" s="179"/>
      <c r="P58" s="179"/>
      <c r="Q58" s="216">
        <f t="shared" si="19"/>
        <v>16.25</v>
      </c>
      <c r="R58" s="206"/>
      <c r="S58" s="228"/>
    </row>
    <row r="59" spans="1:19" x14ac:dyDescent="0.25">
      <c r="A59" s="166">
        <f t="shared" si="20"/>
        <v>41963</v>
      </c>
      <c r="B59" s="216">
        <f t="shared" si="15"/>
        <v>492.01</v>
      </c>
      <c r="C59" s="205"/>
      <c r="D59" s="216">
        <f t="shared" si="16"/>
        <v>45.99</v>
      </c>
      <c r="E59" s="205"/>
      <c r="F59" s="216">
        <f t="shared" si="16"/>
        <v>16</v>
      </c>
      <c r="G59" s="206"/>
      <c r="H59" s="198">
        <f t="shared" si="17"/>
        <v>538</v>
      </c>
      <c r="I59" s="206"/>
      <c r="J59" s="216">
        <f t="shared" si="18"/>
        <v>5151.74</v>
      </c>
      <c r="K59" s="192"/>
      <c r="L59" s="178"/>
      <c r="M59" s="178"/>
      <c r="N59" s="178"/>
      <c r="O59" s="179"/>
      <c r="P59" s="179"/>
      <c r="Q59" s="216">
        <f t="shared" si="19"/>
        <v>13.49</v>
      </c>
      <c r="R59" s="206"/>
      <c r="S59" s="228"/>
    </row>
    <row r="60" spans="1:19" x14ac:dyDescent="0.25">
      <c r="A60" s="166">
        <f t="shared" si="20"/>
        <v>41993</v>
      </c>
      <c r="B60" s="216">
        <f t="shared" si="15"/>
        <v>497.38</v>
      </c>
      <c r="C60" s="205"/>
      <c r="D60" s="216">
        <f t="shared" si="16"/>
        <v>40.619999999999997</v>
      </c>
      <c r="E60" s="205"/>
      <c r="F60" s="216">
        <f t="shared" si="16"/>
        <v>16</v>
      </c>
      <c r="G60" s="206"/>
      <c r="H60" s="198">
        <f t="shared" si="17"/>
        <v>538</v>
      </c>
      <c r="I60" s="206"/>
      <c r="J60" s="216">
        <f t="shared" si="18"/>
        <v>4654.3599999999997</v>
      </c>
      <c r="K60" s="192"/>
      <c r="L60" s="178"/>
      <c r="M60" s="178"/>
      <c r="N60" s="178"/>
      <c r="O60" s="179"/>
      <c r="P60" s="179"/>
      <c r="Q60" s="216">
        <f t="shared" si="19"/>
        <v>13.4</v>
      </c>
      <c r="R60" s="206"/>
      <c r="S60" s="228"/>
    </row>
    <row r="61" spans="1:19" x14ac:dyDescent="0.25">
      <c r="A61" s="166">
        <f t="shared" si="20"/>
        <v>42024</v>
      </c>
      <c r="B61" s="216">
        <f t="shared" si="15"/>
        <v>500.07</v>
      </c>
      <c r="C61" s="205"/>
      <c r="D61" s="216">
        <f t="shared" si="16"/>
        <v>37.93</v>
      </c>
      <c r="E61" s="205"/>
      <c r="F61" s="216">
        <f t="shared" si="16"/>
        <v>16</v>
      </c>
      <c r="G61" s="206"/>
      <c r="H61" s="198">
        <f t="shared" si="17"/>
        <v>538</v>
      </c>
      <c r="I61" s="206"/>
      <c r="J61" s="216">
        <f t="shared" si="18"/>
        <v>4154.29</v>
      </c>
      <c r="K61" s="192"/>
      <c r="L61" s="178"/>
      <c r="M61" s="178"/>
      <c r="N61" s="178"/>
      <c r="O61" s="179"/>
      <c r="P61" s="179"/>
      <c r="Q61" s="216">
        <f t="shared" si="19"/>
        <v>11.96</v>
      </c>
      <c r="R61" s="206"/>
      <c r="S61" s="228"/>
    </row>
    <row r="62" spans="1:19" s="15" customFormat="1" x14ac:dyDescent="0.25">
      <c r="A62" s="160">
        <f t="shared" ref="A62:A66" si="21">EDATE(A61,1)</f>
        <v>42055</v>
      </c>
      <c r="B62" s="216">
        <f t="shared" si="15"/>
        <v>504.15</v>
      </c>
      <c r="C62" s="205"/>
      <c r="D62" s="216">
        <f t="shared" si="16"/>
        <v>33.85</v>
      </c>
      <c r="E62" s="205"/>
      <c r="F62" s="216">
        <f t="shared" si="16"/>
        <v>16</v>
      </c>
      <c r="G62" s="206"/>
      <c r="H62" s="198">
        <f t="shared" si="17"/>
        <v>538</v>
      </c>
      <c r="I62" s="206"/>
      <c r="J62" s="216">
        <f t="shared" si="18"/>
        <v>3650.1400000000003</v>
      </c>
      <c r="K62" s="175"/>
      <c r="L62" s="178"/>
      <c r="M62" s="178"/>
      <c r="N62" s="178"/>
      <c r="O62" s="179"/>
      <c r="P62" s="179"/>
      <c r="Q62" s="216">
        <f t="shared" si="19"/>
        <v>7.65</v>
      </c>
      <c r="R62" s="206"/>
      <c r="S62" s="228"/>
    </row>
    <row r="63" spans="1:19" s="15" customFormat="1" x14ac:dyDescent="0.25">
      <c r="A63" s="160">
        <f t="shared" si="21"/>
        <v>42083</v>
      </c>
      <c r="B63" s="216">
        <f t="shared" si="15"/>
        <v>511.15</v>
      </c>
      <c r="C63" s="205"/>
      <c r="D63" s="216">
        <f t="shared" si="16"/>
        <v>26.85</v>
      </c>
      <c r="E63" s="205"/>
      <c r="F63" s="216">
        <f t="shared" si="16"/>
        <v>16</v>
      </c>
      <c r="G63" s="206"/>
      <c r="H63" s="198">
        <f t="shared" si="17"/>
        <v>538</v>
      </c>
      <c r="I63" s="206"/>
      <c r="J63" s="216">
        <f t="shared" si="18"/>
        <v>3138.9900000000002</v>
      </c>
      <c r="K63" s="175"/>
      <c r="L63" s="178"/>
      <c r="M63" s="178"/>
      <c r="N63" s="178"/>
      <c r="O63" s="179"/>
      <c r="P63" s="179"/>
      <c r="Q63" s="216">
        <f t="shared" si="19"/>
        <v>9.0399999999999991</v>
      </c>
      <c r="R63" s="206"/>
      <c r="S63" s="228"/>
    </row>
    <row r="64" spans="1:19" s="15" customFormat="1" x14ac:dyDescent="0.25">
      <c r="A64" s="160">
        <f t="shared" si="21"/>
        <v>42114</v>
      </c>
      <c r="B64" s="216">
        <f t="shared" si="15"/>
        <v>512.41999999999996</v>
      </c>
      <c r="C64" s="205"/>
      <c r="D64" s="216">
        <f t="shared" si="16"/>
        <v>25.58</v>
      </c>
      <c r="E64" s="205"/>
      <c r="F64" s="216">
        <f t="shared" si="16"/>
        <v>16</v>
      </c>
      <c r="G64" s="206"/>
      <c r="H64" s="198">
        <f t="shared" si="17"/>
        <v>538</v>
      </c>
      <c r="I64" s="206"/>
      <c r="J64" s="216">
        <f t="shared" si="18"/>
        <v>2626.57</v>
      </c>
      <c r="K64" s="175"/>
      <c r="L64" s="178"/>
      <c r="M64" s="178"/>
      <c r="N64" s="178"/>
      <c r="O64" s="179"/>
      <c r="P64" s="179"/>
      <c r="Q64" s="216">
        <f t="shared" si="19"/>
        <v>6.88</v>
      </c>
      <c r="R64" s="206"/>
      <c r="S64" s="228"/>
    </row>
    <row r="65" spans="1:19" s="15" customFormat="1" x14ac:dyDescent="0.25">
      <c r="A65" s="160">
        <f t="shared" si="21"/>
        <v>42144</v>
      </c>
      <c r="B65" s="216">
        <f t="shared" si="15"/>
        <v>517.29</v>
      </c>
      <c r="C65" s="205"/>
      <c r="D65" s="216">
        <f t="shared" si="16"/>
        <v>20.71</v>
      </c>
      <c r="E65" s="205"/>
      <c r="F65" s="216">
        <f t="shared" si="16"/>
        <v>16</v>
      </c>
      <c r="G65" s="206"/>
      <c r="H65" s="198">
        <f t="shared" si="17"/>
        <v>538</v>
      </c>
      <c r="I65" s="206"/>
      <c r="J65" s="216">
        <f t="shared" si="18"/>
        <v>2109.2800000000002</v>
      </c>
      <c r="K65" s="175"/>
      <c r="L65" s="178"/>
      <c r="M65" s="178"/>
      <c r="N65" s="178"/>
      <c r="O65" s="179"/>
      <c r="P65" s="179"/>
      <c r="Q65" s="216">
        <f t="shared" si="19"/>
        <v>6.07</v>
      </c>
      <c r="R65" s="206"/>
      <c r="S65" s="228"/>
    </row>
    <row r="66" spans="1:19" s="15" customFormat="1" x14ac:dyDescent="0.25">
      <c r="A66" s="160">
        <f t="shared" si="21"/>
        <v>42175</v>
      </c>
      <c r="B66" s="216">
        <f t="shared" si="15"/>
        <v>520.80999999999995</v>
      </c>
      <c r="C66" s="205"/>
      <c r="D66" s="216">
        <f t="shared" si="16"/>
        <v>17.190000000000001</v>
      </c>
      <c r="E66" s="205"/>
      <c r="F66" s="216">
        <f t="shared" si="16"/>
        <v>16</v>
      </c>
      <c r="G66" s="206"/>
      <c r="H66" s="198">
        <f t="shared" si="17"/>
        <v>538</v>
      </c>
      <c r="I66" s="206"/>
      <c r="J66" s="216">
        <f t="shared" si="18"/>
        <v>1588.4700000000003</v>
      </c>
      <c r="K66" s="175"/>
      <c r="L66" s="178"/>
      <c r="M66" s="178"/>
      <c r="N66" s="178"/>
      <c r="O66" s="179"/>
      <c r="P66" s="179"/>
      <c r="Q66" s="216">
        <f t="shared" si="19"/>
        <v>4.16</v>
      </c>
      <c r="R66" s="206"/>
      <c r="S66" s="228"/>
    </row>
    <row r="67" spans="1:19" x14ac:dyDescent="0.25">
      <c r="A67" s="166">
        <f>A43</f>
        <v>42205</v>
      </c>
      <c r="B67" s="216">
        <f t="shared" si="15"/>
        <v>525.48</v>
      </c>
      <c r="C67" s="205"/>
      <c r="D67" s="216">
        <f t="shared" si="16"/>
        <v>12.52</v>
      </c>
      <c r="E67" s="205"/>
      <c r="F67" s="216">
        <f t="shared" si="16"/>
        <v>16</v>
      </c>
      <c r="G67" s="206"/>
      <c r="H67" s="198">
        <f t="shared" si="17"/>
        <v>538</v>
      </c>
      <c r="I67" s="206"/>
      <c r="J67" s="216">
        <f t="shared" si="18"/>
        <v>1062.99</v>
      </c>
      <c r="K67" s="192"/>
      <c r="L67" s="178"/>
      <c r="M67" s="178"/>
      <c r="N67" s="178"/>
      <c r="O67" s="179"/>
      <c r="P67" s="179"/>
      <c r="Q67" s="216">
        <f t="shared" si="19"/>
        <v>3.06</v>
      </c>
      <c r="R67" s="206"/>
      <c r="S67" s="228"/>
    </row>
    <row r="68" spans="1:19" x14ac:dyDescent="0.25">
      <c r="A68" s="166">
        <f>A44</f>
        <v>42236</v>
      </c>
      <c r="B68" s="216">
        <f t="shared" si="15"/>
        <v>529.34</v>
      </c>
      <c r="C68" s="205"/>
      <c r="D68" s="216">
        <f t="shared" si="16"/>
        <v>8.66</v>
      </c>
      <c r="E68" s="205"/>
      <c r="F68" s="216">
        <f t="shared" si="16"/>
        <v>16</v>
      </c>
      <c r="G68" s="206"/>
      <c r="H68" s="198">
        <f t="shared" si="17"/>
        <v>538</v>
      </c>
      <c r="I68" s="206"/>
      <c r="J68" s="216">
        <f t="shared" si="18"/>
        <v>533.65</v>
      </c>
      <c r="K68" s="192"/>
      <c r="L68" s="178"/>
      <c r="M68" s="178"/>
      <c r="N68" s="178"/>
      <c r="O68" s="179"/>
      <c r="P68" s="179"/>
      <c r="Q68" s="216">
        <f t="shared" si="19"/>
        <v>1.54</v>
      </c>
      <c r="R68" s="206"/>
      <c r="S68" s="228"/>
    </row>
    <row r="69" spans="1:19" ht="15.75" thickBot="1" x14ac:dyDescent="0.3">
      <c r="A69" s="166">
        <f>A45</f>
        <v>42267</v>
      </c>
      <c r="B69" s="216">
        <f t="shared" si="15"/>
        <v>533.65</v>
      </c>
      <c r="C69" s="205"/>
      <c r="D69" s="216">
        <f t="shared" si="16"/>
        <v>4.3499999999999996</v>
      </c>
      <c r="E69" s="205"/>
      <c r="F69" s="216">
        <f t="shared" si="16"/>
        <v>16</v>
      </c>
      <c r="G69" s="206"/>
      <c r="H69" s="198">
        <f t="shared" si="17"/>
        <v>538</v>
      </c>
      <c r="I69" s="206"/>
      <c r="J69" s="216">
        <f t="shared" si="18"/>
        <v>0</v>
      </c>
      <c r="K69" s="192"/>
      <c r="L69" s="178"/>
      <c r="M69" s="178"/>
      <c r="N69" s="178"/>
      <c r="O69" s="179"/>
      <c r="P69" s="179"/>
      <c r="Q69" s="216">
        <f t="shared" si="19"/>
        <v>0</v>
      </c>
      <c r="R69" s="206"/>
      <c r="S69" s="228"/>
    </row>
    <row r="70" spans="1:19" ht="15.75" thickBot="1" x14ac:dyDescent="0.3">
      <c r="A70" s="164"/>
      <c r="B70" s="207">
        <f>SUM(B48:B69)</f>
        <v>8990.9999999999982</v>
      </c>
      <c r="C70" s="208"/>
      <c r="D70" s="207">
        <f>SUM(D48:D69)</f>
        <v>693.00000000000023</v>
      </c>
      <c r="E70" s="208"/>
      <c r="F70" s="207">
        <f>SUM(F48:F69)</f>
        <v>288</v>
      </c>
      <c r="G70" s="209"/>
      <c r="H70" s="207">
        <f>SUM(H48:H69)</f>
        <v>9684</v>
      </c>
      <c r="I70" s="209"/>
      <c r="J70" s="207">
        <f>SUM(J48:J69)</f>
        <v>87297.09</v>
      </c>
      <c r="K70" s="209"/>
      <c r="L70" s="180"/>
      <c r="M70" s="180"/>
      <c r="N70" s="181">
        <f>SUM(N49:N57)</f>
        <v>-0.45999999999997954</v>
      </c>
      <c r="O70" s="182"/>
      <c r="P70" s="182"/>
      <c r="Q70" s="207">
        <f>SUM(Q48:Q69)</f>
        <v>233.22</v>
      </c>
      <c r="R70" s="210"/>
      <c r="S70" s="227"/>
    </row>
    <row r="71" spans="1:19" ht="15.75" thickBot="1" x14ac:dyDescent="0.3">
      <c r="A71" s="219"/>
      <c r="B71" s="199"/>
      <c r="C71" s="183"/>
      <c r="D71" s="199"/>
      <c r="E71" s="183"/>
      <c r="F71" s="266"/>
      <c r="G71" s="272"/>
      <c r="H71" s="199"/>
      <c r="I71" s="184"/>
      <c r="J71" s="199"/>
      <c r="K71" s="184"/>
      <c r="L71" s="184"/>
      <c r="M71" s="184"/>
      <c r="N71" s="184"/>
      <c r="O71" s="184"/>
      <c r="P71" s="184"/>
      <c r="Q71" s="199"/>
      <c r="R71" s="184"/>
      <c r="S71" s="230"/>
    </row>
    <row r="72" spans="1:19" x14ac:dyDescent="0.25">
      <c r="A72" s="161">
        <f>A48</f>
        <v>41721</v>
      </c>
      <c r="B72" s="197">
        <f>B48</f>
        <v>0</v>
      </c>
      <c r="C72" s="167"/>
      <c r="D72" s="197">
        <f>D48</f>
        <v>0</v>
      </c>
      <c r="E72" s="167"/>
      <c r="F72" s="197">
        <f>F48</f>
        <v>0</v>
      </c>
      <c r="G72" s="168"/>
      <c r="H72" s="197">
        <f>B72+D72</f>
        <v>0</v>
      </c>
      <c r="I72" s="168">
        <f>I48</f>
        <v>0</v>
      </c>
      <c r="J72" s="197">
        <f>J48</f>
        <v>8990.9999999999982</v>
      </c>
      <c r="K72" s="168"/>
      <c r="L72" s="169"/>
      <c r="M72" s="169"/>
      <c r="N72" s="169"/>
      <c r="O72" s="170"/>
      <c r="P72" s="170"/>
      <c r="Q72" s="197">
        <f>Q48</f>
        <v>18.829999999999998</v>
      </c>
      <c r="R72" s="168"/>
      <c r="S72" s="231">
        <f t="shared" ref="S72:S77" si="22">S48</f>
        <v>27.428999999999998</v>
      </c>
    </row>
    <row r="73" spans="1:19" x14ac:dyDescent="0.25">
      <c r="A73" s="165">
        <f t="shared" ref="A73:A78" si="23">A49</f>
        <v>41729</v>
      </c>
      <c r="B73" s="211"/>
      <c r="C73" s="212">
        <f>C49</f>
        <v>0</v>
      </c>
      <c r="D73" s="211"/>
      <c r="E73" s="213">
        <f>E49</f>
        <v>0</v>
      </c>
      <c r="F73" s="211"/>
      <c r="G73" s="273">
        <f>G49</f>
        <v>0</v>
      </c>
      <c r="H73" s="211"/>
      <c r="I73" s="185"/>
      <c r="J73" s="211"/>
      <c r="K73" s="185">
        <f t="shared" ref="K73:P73" si="24">K49</f>
        <v>327.79</v>
      </c>
      <c r="L73" s="186">
        <f t="shared" si="24"/>
        <v>327.73</v>
      </c>
      <c r="M73" s="186">
        <f t="shared" si="24"/>
        <v>8990.9999999999982</v>
      </c>
      <c r="N73" s="186">
        <f t="shared" si="24"/>
        <v>-6.0000000000002274E-2</v>
      </c>
      <c r="O73" s="187">
        <f t="shared" si="24"/>
        <v>308.27999999999997</v>
      </c>
      <c r="P73" s="187">
        <f t="shared" si="24"/>
        <v>8457.3499999999985</v>
      </c>
      <c r="Q73" s="211"/>
      <c r="R73" s="185">
        <f>R49</f>
        <v>0</v>
      </c>
      <c r="S73" s="231">
        <f t="shared" si="22"/>
        <v>27.434000000000001</v>
      </c>
    </row>
    <row r="74" spans="1:19" x14ac:dyDescent="0.25">
      <c r="A74" s="162">
        <f t="shared" si="23"/>
        <v>41749</v>
      </c>
      <c r="B74" s="198">
        <f>B50</f>
        <v>471.85</v>
      </c>
      <c r="C74" s="214"/>
      <c r="D74" s="203">
        <f>D50</f>
        <v>66.150000000000006</v>
      </c>
      <c r="E74" s="214"/>
      <c r="F74" s="203">
        <f>F50</f>
        <v>16</v>
      </c>
      <c r="G74" s="188"/>
      <c r="H74" s="198">
        <f>B74+D74</f>
        <v>538</v>
      </c>
      <c r="I74" s="188">
        <f>I50</f>
        <v>20.190000000000001</v>
      </c>
      <c r="J74" s="198">
        <f>J50</f>
        <v>8519.1499999999978</v>
      </c>
      <c r="K74" s="188"/>
      <c r="L74" s="189"/>
      <c r="M74" s="189"/>
      <c r="N74" s="189"/>
      <c r="O74" s="190"/>
      <c r="P74" s="187"/>
      <c r="Q74" s="198">
        <f>Q50</f>
        <v>22.31</v>
      </c>
      <c r="R74" s="188"/>
      <c r="S74" s="231">
        <f t="shared" si="22"/>
        <v>27.443999999999999</v>
      </c>
    </row>
    <row r="75" spans="1:19" x14ac:dyDescent="0.25">
      <c r="A75" s="165">
        <f t="shared" si="23"/>
        <v>41759</v>
      </c>
      <c r="B75" s="217"/>
      <c r="C75" s="212">
        <f>C51</f>
        <v>17.2</v>
      </c>
      <c r="D75" s="217"/>
      <c r="E75" s="213">
        <f>E51</f>
        <v>2.41</v>
      </c>
      <c r="F75" s="217"/>
      <c r="G75" s="273">
        <f>G51</f>
        <v>0.57999999999999996</v>
      </c>
      <c r="H75" s="217"/>
      <c r="I75" s="218"/>
      <c r="J75" s="217"/>
      <c r="K75" s="185">
        <f t="shared" ref="K75:P75" si="25">K51</f>
        <v>310.52999999999997</v>
      </c>
      <c r="L75" s="186">
        <f t="shared" si="25"/>
        <v>310.08</v>
      </c>
      <c r="M75" s="186">
        <f t="shared" si="25"/>
        <v>8519.1499999999978</v>
      </c>
      <c r="N75" s="186">
        <f t="shared" si="25"/>
        <v>-0.44999999999998863</v>
      </c>
      <c r="O75" s="187">
        <f t="shared" si="25"/>
        <v>310.08</v>
      </c>
      <c r="P75" s="187">
        <f t="shared" si="25"/>
        <v>8519.1499999999978</v>
      </c>
      <c r="Q75" s="217"/>
      <c r="R75" s="218">
        <f>R51</f>
        <v>0.81</v>
      </c>
      <c r="S75" s="231">
        <f t="shared" si="22"/>
        <v>27.474</v>
      </c>
    </row>
    <row r="76" spans="1:19" s="37" customFormat="1" x14ac:dyDescent="0.25">
      <c r="A76" s="220">
        <f t="shared" si="23"/>
        <v>41779</v>
      </c>
      <c r="B76" s="221">
        <f>B52</f>
        <v>470.83</v>
      </c>
      <c r="C76" s="214"/>
      <c r="D76" s="203">
        <f>D52</f>
        <v>67.17</v>
      </c>
      <c r="E76" s="222"/>
      <c r="F76" s="203">
        <f>F52</f>
        <v>16</v>
      </c>
      <c r="G76" s="223"/>
      <c r="H76" s="198">
        <f>B76+D76</f>
        <v>538</v>
      </c>
      <c r="I76" s="188">
        <f>I52</f>
        <v>20.170000000000002</v>
      </c>
      <c r="J76" s="221">
        <f>J52</f>
        <v>8048.32</v>
      </c>
      <c r="K76" s="223"/>
      <c r="L76" s="178"/>
      <c r="M76" s="178"/>
      <c r="N76" s="178"/>
      <c r="O76" s="179"/>
      <c r="P76" s="179"/>
      <c r="Q76" s="198">
        <f>Q52</f>
        <v>23.18</v>
      </c>
      <c r="R76" s="223"/>
      <c r="S76" s="231">
        <f t="shared" si="22"/>
        <v>27.472000000000001</v>
      </c>
    </row>
    <row r="77" spans="1:19" x14ac:dyDescent="0.25">
      <c r="A77" s="165">
        <f t="shared" si="23"/>
        <v>41790</v>
      </c>
      <c r="B77" s="217"/>
      <c r="C77" s="212">
        <f>C53</f>
        <v>17.14</v>
      </c>
      <c r="D77" s="217"/>
      <c r="E77" s="213">
        <f>E53</f>
        <v>2.4500000000000002</v>
      </c>
      <c r="F77" s="217"/>
      <c r="G77" s="273">
        <f>G53</f>
        <v>0.57999999999999996</v>
      </c>
      <c r="H77" s="217"/>
      <c r="I77" s="218"/>
      <c r="J77" s="217"/>
      <c r="K77" s="185">
        <f t="shared" ref="K77:P77" si="26">K53</f>
        <v>292.94</v>
      </c>
      <c r="L77" s="186">
        <f t="shared" si="26"/>
        <v>292.99</v>
      </c>
      <c r="M77" s="186">
        <f t="shared" si="26"/>
        <v>8048.32</v>
      </c>
      <c r="N77" s="186">
        <f t="shared" si="26"/>
        <v>5.0000000000011369E-2</v>
      </c>
      <c r="O77" s="187">
        <f t="shared" si="26"/>
        <v>292.99</v>
      </c>
      <c r="P77" s="187">
        <f t="shared" si="26"/>
        <v>8048.32</v>
      </c>
      <c r="Q77" s="217"/>
      <c r="R77" s="218">
        <f>R53</f>
        <v>0.84</v>
      </c>
      <c r="S77" s="231">
        <f t="shared" si="22"/>
        <v>27.47</v>
      </c>
    </row>
    <row r="78" spans="1:19" x14ac:dyDescent="0.25">
      <c r="A78" s="166">
        <f t="shared" si="23"/>
        <v>41810</v>
      </c>
      <c r="B78" s="203">
        <f>B54</f>
        <v>472.42</v>
      </c>
      <c r="C78" s="214"/>
      <c r="D78" s="203">
        <f>D54</f>
        <v>65.58</v>
      </c>
      <c r="E78" s="214"/>
      <c r="F78" s="203">
        <f>F54</f>
        <v>16</v>
      </c>
      <c r="G78" s="188"/>
      <c r="H78" s="198">
        <f>B78+D78</f>
        <v>538</v>
      </c>
      <c r="I78" s="188">
        <f>ROUND((B78+D78+F78)/S78,2)</f>
        <v>20.170000000000002</v>
      </c>
      <c r="J78" s="203">
        <f>J54</f>
        <v>7575.9</v>
      </c>
      <c r="K78" s="175"/>
      <c r="L78" s="176"/>
      <c r="M78" s="176"/>
      <c r="N78" s="176"/>
      <c r="O78" s="177"/>
      <c r="P78" s="177"/>
      <c r="Q78" s="198">
        <f>Q54</f>
        <v>19.84</v>
      </c>
      <c r="R78" s="188"/>
      <c r="S78" s="228">
        <v>27.472999999999999</v>
      </c>
    </row>
    <row r="79" spans="1:19" ht="15.75" thickBot="1" x14ac:dyDescent="0.3">
      <c r="A79" s="163">
        <f>EOMONTH(A54,0)</f>
        <v>41820</v>
      </c>
      <c r="B79" s="215"/>
      <c r="C79" s="201">
        <f>ROUND(B78/S77,2)</f>
        <v>17.2</v>
      </c>
      <c r="D79" s="215"/>
      <c r="E79" s="201">
        <f>ROUND(D78/S78,2)</f>
        <v>2.39</v>
      </c>
      <c r="F79" s="215"/>
      <c r="G79" s="279">
        <f>ROUND(F78/S79,2)</f>
        <v>0.57999999999999996</v>
      </c>
      <c r="H79" s="215"/>
      <c r="I79" s="191"/>
      <c r="J79" s="215"/>
      <c r="K79" s="191">
        <f>ROUND(SUM(B80:B94)/S77,2)</f>
        <v>275.79000000000002</v>
      </c>
      <c r="L79" s="173">
        <f>ROUND(SUM(B80:B94)/S79,2)</f>
        <v>275.74</v>
      </c>
      <c r="M79" s="173">
        <f>J78</f>
        <v>7575.9</v>
      </c>
      <c r="N79" s="173">
        <f>L79-K79</f>
        <v>-5.0000000000011369E-2</v>
      </c>
      <c r="O79" s="174">
        <f>ROUND(P79/S79,2)</f>
        <v>275.74</v>
      </c>
      <c r="P79" s="174">
        <f>SUM(B80:B94)</f>
        <v>7575.9</v>
      </c>
      <c r="Q79" s="215"/>
      <c r="R79" s="191">
        <f>ROUND(Q78/S79,2)</f>
        <v>0.72</v>
      </c>
      <c r="S79" s="229">
        <v>27.475000000000001</v>
      </c>
    </row>
    <row r="80" spans="1:19" ht="15.75" thickTop="1" x14ac:dyDescent="0.25">
      <c r="A80" s="166">
        <f t="shared" ref="A80:B85" si="27">A55</f>
        <v>41840</v>
      </c>
      <c r="B80" s="216">
        <f t="shared" si="27"/>
        <v>478.27</v>
      </c>
      <c r="C80" s="204"/>
      <c r="D80" s="216">
        <f t="shared" ref="D80:D85" si="28">D55</f>
        <v>59.73</v>
      </c>
      <c r="E80" s="204"/>
      <c r="F80" s="216">
        <f t="shared" ref="F80:F85" si="29">F55</f>
        <v>16</v>
      </c>
      <c r="G80" s="192"/>
      <c r="H80" s="198">
        <f t="shared" ref="H80:H94" si="30">B80+D80</f>
        <v>538</v>
      </c>
      <c r="I80" s="192"/>
      <c r="J80" s="216">
        <f>J55</f>
        <v>7097.6299999999992</v>
      </c>
      <c r="K80" s="192"/>
      <c r="L80" s="193"/>
      <c r="M80" s="193"/>
      <c r="N80" s="193"/>
      <c r="O80" s="194"/>
      <c r="P80" s="194"/>
      <c r="Q80" s="198">
        <f>Q55</f>
        <v>20.440000000000001</v>
      </c>
      <c r="R80" s="192"/>
      <c r="S80" s="228"/>
    </row>
    <row r="81" spans="1:19" x14ac:dyDescent="0.25">
      <c r="A81" s="166">
        <f t="shared" si="27"/>
        <v>41871</v>
      </c>
      <c r="B81" s="216">
        <f t="shared" si="27"/>
        <v>480.16</v>
      </c>
      <c r="C81" s="204"/>
      <c r="D81" s="216">
        <f t="shared" si="28"/>
        <v>57.84</v>
      </c>
      <c r="E81" s="204"/>
      <c r="F81" s="216">
        <f t="shared" si="29"/>
        <v>16</v>
      </c>
      <c r="G81" s="192"/>
      <c r="H81" s="198">
        <f t="shared" si="30"/>
        <v>538</v>
      </c>
      <c r="I81" s="192"/>
      <c r="J81" s="216">
        <f>J56</f>
        <v>6617.4699999999993</v>
      </c>
      <c r="K81" s="192"/>
      <c r="L81" s="193"/>
      <c r="M81" s="193"/>
      <c r="N81" s="193"/>
      <c r="O81" s="194"/>
      <c r="P81" s="194"/>
      <c r="Q81" s="216">
        <f>Q56</f>
        <v>19.059999999999999</v>
      </c>
      <c r="R81" s="192"/>
      <c r="S81" s="228"/>
    </row>
    <row r="82" spans="1:19" x14ac:dyDescent="0.25">
      <c r="A82" s="166">
        <f t="shared" si="27"/>
        <v>41902</v>
      </c>
      <c r="B82" s="216">
        <f t="shared" si="27"/>
        <v>484.08</v>
      </c>
      <c r="C82" s="205"/>
      <c r="D82" s="216">
        <f t="shared" si="28"/>
        <v>53.92</v>
      </c>
      <c r="E82" s="205"/>
      <c r="F82" s="216">
        <f t="shared" si="29"/>
        <v>16</v>
      </c>
      <c r="G82" s="206"/>
      <c r="H82" s="198">
        <f t="shared" si="30"/>
        <v>538</v>
      </c>
      <c r="I82" s="206"/>
      <c r="J82" s="216">
        <f>J57</f>
        <v>6133.3899999999994</v>
      </c>
      <c r="K82" s="192"/>
      <c r="L82" s="195"/>
      <c r="M82" s="195"/>
      <c r="N82" s="195"/>
      <c r="O82" s="196"/>
      <c r="P82" s="196"/>
      <c r="Q82" s="216">
        <f>Q57</f>
        <v>16.059999999999999</v>
      </c>
      <c r="R82" s="206"/>
      <c r="S82" s="228"/>
    </row>
    <row r="83" spans="1:19" x14ac:dyDescent="0.25">
      <c r="A83" s="166">
        <f t="shared" si="27"/>
        <v>41932</v>
      </c>
      <c r="B83" s="216">
        <f t="shared" si="27"/>
        <v>489.64</v>
      </c>
      <c r="C83" s="205"/>
      <c r="D83" s="216">
        <f t="shared" si="28"/>
        <v>48.36</v>
      </c>
      <c r="E83" s="205"/>
      <c r="F83" s="216">
        <f t="shared" si="29"/>
        <v>16</v>
      </c>
      <c r="G83" s="206"/>
      <c r="H83" s="198">
        <f t="shared" si="30"/>
        <v>538</v>
      </c>
      <c r="I83" s="206"/>
      <c r="J83" s="216">
        <f>J58</f>
        <v>5643.75</v>
      </c>
      <c r="K83" s="192"/>
      <c r="L83" s="178"/>
      <c r="M83" s="178"/>
      <c r="N83" s="178"/>
      <c r="O83" s="179"/>
      <c r="P83" s="179"/>
      <c r="Q83" s="216">
        <f>Q58</f>
        <v>16.25</v>
      </c>
      <c r="R83" s="206"/>
      <c r="S83" s="228"/>
    </row>
    <row r="84" spans="1:19" x14ac:dyDescent="0.25">
      <c r="A84" s="166">
        <f t="shared" si="27"/>
        <v>41963</v>
      </c>
      <c r="B84" s="216">
        <f t="shared" si="27"/>
        <v>492.01</v>
      </c>
      <c r="C84" s="205"/>
      <c r="D84" s="216">
        <f t="shared" si="28"/>
        <v>45.99</v>
      </c>
      <c r="E84" s="205"/>
      <c r="F84" s="216">
        <f t="shared" si="29"/>
        <v>16</v>
      </c>
      <c r="G84" s="206"/>
      <c r="H84" s="198">
        <f t="shared" si="30"/>
        <v>538</v>
      </c>
      <c r="I84" s="206"/>
      <c r="J84" s="216">
        <f>J59</f>
        <v>5151.74</v>
      </c>
      <c r="K84" s="192"/>
      <c r="L84" s="178"/>
      <c r="M84" s="178"/>
      <c r="N84" s="178"/>
      <c r="O84" s="179"/>
      <c r="P84" s="179"/>
      <c r="Q84" s="216">
        <f>Q59</f>
        <v>13.49</v>
      </c>
      <c r="R84" s="206"/>
      <c r="S84" s="228"/>
    </row>
    <row r="85" spans="1:19" x14ac:dyDescent="0.25">
      <c r="A85" s="166">
        <f t="shared" si="27"/>
        <v>41993</v>
      </c>
      <c r="B85" s="216">
        <f t="shared" si="27"/>
        <v>497.38</v>
      </c>
      <c r="C85" s="205"/>
      <c r="D85" s="216">
        <f t="shared" si="28"/>
        <v>40.619999999999997</v>
      </c>
      <c r="E85" s="205"/>
      <c r="F85" s="216">
        <f t="shared" si="29"/>
        <v>16</v>
      </c>
      <c r="G85" s="206"/>
      <c r="H85" s="198">
        <f t="shared" si="30"/>
        <v>538</v>
      </c>
      <c r="I85" s="206"/>
      <c r="J85" s="216">
        <f t="shared" ref="J85:J94" si="31">J60</f>
        <v>4654.3599999999997</v>
      </c>
      <c r="K85" s="192"/>
      <c r="L85" s="178"/>
      <c r="M85" s="178"/>
      <c r="N85" s="178"/>
      <c r="O85" s="179"/>
      <c r="P85" s="179"/>
      <c r="Q85" s="216">
        <f t="shared" ref="Q85:Q94" si="32">Q60</f>
        <v>13.4</v>
      </c>
      <c r="R85" s="206"/>
      <c r="S85" s="228"/>
    </row>
    <row r="86" spans="1:19" x14ac:dyDescent="0.25">
      <c r="A86" s="166">
        <f>A61</f>
        <v>42024</v>
      </c>
      <c r="B86" s="216">
        <f t="shared" ref="B86:B94" si="33">B61</f>
        <v>500.07</v>
      </c>
      <c r="C86" s="205"/>
      <c r="D86" s="216">
        <f t="shared" ref="D86:F94" si="34">D61</f>
        <v>37.93</v>
      </c>
      <c r="E86" s="205"/>
      <c r="F86" s="216">
        <f t="shared" si="34"/>
        <v>16</v>
      </c>
      <c r="G86" s="206"/>
      <c r="H86" s="198">
        <f t="shared" si="30"/>
        <v>538</v>
      </c>
      <c r="I86" s="206"/>
      <c r="J86" s="216">
        <f t="shared" si="31"/>
        <v>4154.29</v>
      </c>
      <c r="K86" s="192"/>
      <c r="L86" s="178"/>
      <c r="M86" s="178"/>
      <c r="N86" s="178"/>
      <c r="O86" s="179"/>
      <c r="P86" s="179"/>
      <c r="Q86" s="216">
        <f t="shared" si="32"/>
        <v>11.96</v>
      </c>
      <c r="R86" s="206"/>
      <c r="S86" s="228"/>
    </row>
    <row r="87" spans="1:19" s="15" customFormat="1" x14ac:dyDescent="0.25">
      <c r="A87" s="160">
        <f t="shared" ref="A87:A91" si="35">EDATE(A86,1)</f>
        <v>42055</v>
      </c>
      <c r="B87" s="216">
        <f t="shared" si="33"/>
        <v>504.15</v>
      </c>
      <c r="C87" s="205"/>
      <c r="D87" s="216">
        <f t="shared" si="34"/>
        <v>33.85</v>
      </c>
      <c r="E87" s="205"/>
      <c r="F87" s="216">
        <f t="shared" si="34"/>
        <v>16</v>
      </c>
      <c r="G87" s="206"/>
      <c r="H87" s="198">
        <f t="shared" si="30"/>
        <v>538</v>
      </c>
      <c r="I87" s="206"/>
      <c r="J87" s="216">
        <f t="shared" si="31"/>
        <v>3650.1400000000003</v>
      </c>
      <c r="K87" s="175"/>
      <c r="L87" s="178"/>
      <c r="M87" s="178"/>
      <c r="N87" s="178"/>
      <c r="O87" s="179"/>
      <c r="P87" s="179"/>
      <c r="Q87" s="216">
        <f t="shared" si="32"/>
        <v>7.65</v>
      </c>
      <c r="R87" s="206"/>
      <c r="S87" s="228"/>
    </row>
    <row r="88" spans="1:19" s="15" customFormat="1" x14ac:dyDescent="0.25">
      <c r="A88" s="160">
        <f t="shared" si="35"/>
        <v>42083</v>
      </c>
      <c r="B88" s="216">
        <f t="shared" si="33"/>
        <v>511.15</v>
      </c>
      <c r="C88" s="205"/>
      <c r="D88" s="216">
        <f t="shared" si="34"/>
        <v>26.85</v>
      </c>
      <c r="E88" s="205"/>
      <c r="F88" s="216">
        <f t="shared" si="34"/>
        <v>16</v>
      </c>
      <c r="G88" s="206"/>
      <c r="H88" s="198">
        <f t="shared" si="30"/>
        <v>538</v>
      </c>
      <c r="I88" s="206"/>
      <c r="J88" s="216">
        <f t="shared" si="31"/>
        <v>3138.9900000000002</v>
      </c>
      <c r="K88" s="175"/>
      <c r="L88" s="178"/>
      <c r="M88" s="178"/>
      <c r="N88" s="178"/>
      <c r="O88" s="179"/>
      <c r="P88" s="179"/>
      <c r="Q88" s="216">
        <f t="shared" si="32"/>
        <v>9.0399999999999991</v>
      </c>
      <c r="R88" s="206"/>
      <c r="S88" s="228"/>
    </row>
    <row r="89" spans="1:19" s="15" customFormat="1" x14ac:dyDescent="0.25">
      <c r="A89" s="160">
        <f t="shared" si="35"/>
        <v>42114</v>
      </c>
      <c r="B89" s="216">
        <f t="shared" si="33"/>
        <v>512.41999999999996</v>
      </c>
      <c r="C89" s="205"/>
      <c r="D89" s="216">
        <f t="shared" si="34"/>
        <v>25.58</v>
      </c>
      <c r="E89" s="205"/>
      <c r="F89" s="216">
        <f t="shared" si="34"/>
        <v>16</v>
      </c>
      <c r="G89" s="206"/>
      <c r="H89" s="198">
        <f t="shared" si="30"/>
        <v>538</v>
      </c>
      <c r="I89" s="206"/>
      <c r="J89" s="216">
        <f t="shared" si="31"/>
        <v>2626.57</v>
      </c>
      <c r="K89" s="175"/>
      <c r="L89" s="178"/>
      <c r="M89" s="178"/>
      <c r="N89" s="178"/>
      <c r="O89" s="179"/>
      <c r="P89" s="179"/>
      <c r="Q89" s="216">
        <f t="shared" si="32"/>
        <v>6.88</v>
      </c>
      <c r="R89" s="206"/>
      <c r="S89" s="228"/>
    </row>
    <row r="90" spans="1:19" s="15" customFormat="1" x14ac:dyDescent="0.25">
      <c r="A90" s="160">
        <f t="shared" si="35"/>
        <v>42144</v>
      </c>
      <c r="B90" s="216">
        <f t="shared" si="33"/>
        <v>517.29</v>
      </c>
      <c r="C90" s="205"/>
      <c r="D90" s="216">
        <f t="shared" si="34"/>
        <v>20.71</v>
      </c>
      <c r="E90" s="205"/>
      <c r="F90" s="216">
        <f t="shared" si="34"/>
        <v>16</v>
      </c>
      <c r="G90" s="206"/>
      <c r="H90" s="198">
        <f t="shared" si="30"/>
        <v>538</v>
      </c>
      <c r="I90" s="206"/>
      <c r="J90" s="216">
        <f t="shared" si="31"/>
        <v>2109.2800000000002</v>
      </c>
      <c r="K90" s="175"/>
      <c r="L90" s="178"/>
      <c r="M90" s="178"/>
      <c r="N90" s="178"/>
      <c r="O90" s="179"/>
      <c r="P90" s="179"/>
      <c r="Q90" s="216">
        <f t="shared" si="32"/>
        <v>6.07</v>
      </c>
      <c r="R90" s="206"/>
      <c r="S90" s="228"/>
    </row>
    <row r="91" spans="1:19" s="15" customFormat="1" x14ac:dyDescent="0.25">
      <c r="A91" s="160">
        <f t="shared" si="35"/>
        <v>42175</v>
      </c>
      <c r="B91" s="216">
        <f t="shared" si="33"/>
        <v>520.80999999999995</v>
      </c>
      <c r="C91" s="205"/>
      <c r="D91" s="216">
        <f t="shared" si="34"/>
        <v>17.190000000000001</v>
      </c>
      <c r="E91" s="205"/>
      <c r="F91" s="216">
        <f t="shared" si="34"/>
        <v>16</v>
      </c>
      <c r="G91" s="206"/>
      <c r="H91" s="198">
        <f t="shared" si="30"/>
        <v>538</v>
      </c>
      <c r="I91" s="206"/>
      <c r="J91" s="216">
        <f t="shared" si="31"/>
        <v>1588.4700000000003</v>
      </c>
      <c r="K91" s="175"/>
      <c r="L91" s="178"/>
      <c r="M91" s="178"/>
      <c r="N91" s="178"/>
      <c r="O91" s="179"/>
      <c r="P91" s="179"/>
      <c r="Q91" s="216">
        <f t="shared" si="32"/>
        <v>4.16</v>
      </c>
      <c r="R91" s="206"/>
      <c r="S91" s="228"/>
    </row>
    <row r="92" spans="1:19" x14ac:dyDescent="0.25">
      <c r="A92" s="166">
        <f>A67</f>
        <v>42205</v>
      </c>
      <c r="B92" s="216">
        <f t="shared" si="33"/>
        <v>525.48</v>
      </c>
      <c r="C92" s="205"/>
      <c r="D92" s="216">
        <f t="shared" si="34"/>
        <v>12.52</v>
      </c>
      <c r="E92" s="205"/>
      <c r="F92" s="216">
        <f t="shared" si="34"/>
        <v>16</v>
      </c>
      <c r="G92" s="206"/>
      <c r="H92" s="198">
        <f t="shared" si="30"/>
        <v>538</v>
      </c>
      <c r="I92" s="206"/>
      <c r="J92" s="216">
        <f t="shared" si="31"/>
        <v>1062.99</v>
      </c>
      <c r="K92" s="192"/>
      <c r="L92" s="178"/>
      <c r="M92" s="178"/>
      <c r="N92" s="178"/>
      <c r="O92" s="179"/>
      <c r="P92" s="179"/>
      <c r="Q92" s="216">
        <f t="shared" si="32"/>
        <v>3.06</v>
      </c>
      <c r="R92" s="206"/>
      <c r="S92" s="228"/>
    </row>
    <row r="93" spans="1:19" x14ac:dyDescent="0.25">
      <c r="A93" s="166">
        <f>A68</f>
        <v>42236</v>
      </c>
      <c r="B93" s="216">
        <f t="shared" si="33"/>
        <v>529.34</v>
      </c>
      <c r="C93" s="205"/>
      <c r="D93" s="216">
        <f t="shared" si="34"/>
        <v>8.66</v>
      </c>
      <c r="E93" s="205"/>
      <c r="F93" s="216">
        <f t="shared" si="34"/>
        <v>16</v>
      </c>
      <c r="G93" s="206"/>
      <c r="H93" s="198">
        <f t="shared" si="30"/>
        <v>538</v>
      </c>
      <c r="I93" s="206"/>
      <c r="J93" s="216">
        <f t="shared" si="31"/>
        <v>533.65</v>
      </c>
      <c r="K93" s="192"/>
      <c r="L93" s="178"/>
      <c r="M93" s="178"/>
      <c r="N93" s="178"/>
      <c r="O93" s="179"/>
      <c r="P93" s="179"/>
      <c r="Q93" s="216">
        <f t="shared" si="32"/>
        <v>1.54</v>
      </c>
      <c r="R93" s="206"/>
      <c r="S93" s="228"/>
    </row>
    <row r="94" spans="1:19" ht="15.75" thickBot="1" x14ac:dyDescent="0.3">
      <c r="A94" s="166">
        <f>A69</f>
        <v>42267</v>
      </c>
      <c r="B94" s="216">
        <f t="shared" si="33"/>
        <v>533.65</v>
      </c>
      <c r="C94" s="205"/>
      <c r="D94" s="216">
        <f t="shared" si="34"/>
        <v>4.3499999999999996</v>
      </c>
      <c r="E94" s="205"/>
      <c r="F94" s="216">
        <f t="shared" si="34"/>
        <v>16</v>
      </c>
      <c r="G94" s="206"/>
      <c r="H94" s="198">
        <f t="shared" si="30"/>
        <v>538</v>
      </c>
      <c r="I94" s="206"/>
      <c r="J94" s="216">
        <f t="shared" si="31"/>
        <v>0</v>
      </c>
      <c r="K94" s="192"/>
      <c r="L94" s="178"/>
      <c r="M94" s="178"/>
      <c r="N94" s="178"/>
      <c r="O94" s="179"/>
      <c r="P94" s="179"/>
      <c r="Q94" s="216">
        <f t="shared" si="32"/>
        <v>0</v>
      </c>
      <c r="R94" s="206"/>
      <c r="S94" s="228"/>
    </row>
    <row r="95" spans="1:19" ht="15.75" thickBot="1" x14ac:dyDescent="0.3">
      <c r="A95" s="164"/>
      <c r="B95" s="207">
        <f>SUM(B72:B94)</f>
        <v>8990.9999999999982</v>
      </c>
      <c r="C95" s="208"/>
      <c r="D95" s="207">
        <f>SUM(D72:D94)</f>
        <v>693.00000000000023</v>
      </c>
      <c r="E95" s="208"/>
      <c r="F95" s="207">
        <f>SUM(F72:F94)</f>
        <v>288</v>
      </c>
      <c r="G95" s="209"/>
      <c r="H95" s="207">
        <f>SUM(H72:H94)</f>
        <v>9684</v>
      </c>
      <c r="I95" s="209"/>
      <c r="J95" s="207">
        <f>SUM(J72:J94)</f>
        <v>87297.09</v>
      </c>
      <c r="K95" s="209"/>
      <c r="L95" s="180"/>
      <c r="M95" s="180"/>
      <c r="N95" s="181">
        <f>SUM(N73:N82)</f>
        <v>-0.50999999999999091</v>
      </c>
      <c r="O95" s="182"/>
      <c r="P95" s="182"/>
      <c r="Q95" s="207">
        <f>SUM(Q72:Q94)</f>
        <v>233.22</v>
      </c>
      <c r="R95" s="210"/>
      <c r="S95" s="227"/>
    </row>
    <row r="96" spans="1:19" ht="15.75" thickBot="1" x14ac:dyDescent="0.3">
      <c r="A96" s="219"/>
      <c r="B96" s="199"/>
      <c r="C96" s="183"/>
      <c r="D96" s="199"/>
      <c r="E96" s="183"/>
      <c r="F96" s="266"/>
      <c r="G96" s="272"/>
      <c r="H96" s="199"/>
      <c r="I96" s="184"/>
      <c r="J96" s="199"/>
      <c r="K96" s="184"/>
      <c r="L96" s="184"/>
      <c r="M96" s="184"/>
      <c r="N96" s="184"/>
      <c r="O96" s="184"/>
      <c r="P96" s="184"/>
      <c r="Q96" s="199"/>
      <c r="R96" s="184"/>
      <c r="S96" s="230"/>
    </row>
    <row r="97" spans="1:19" x14ac:dyDescent="0.25">
      <c r="A97" s="161">
        <f>A72</f>
        <v>41721</v>
      </c>
      <c r="B97" s="197">
        <f>B72</f>
        <v>0</v>
      </c>
      <c r="C97" s="167"/>
      <c r="D97" s="197">
        <f>D72</f>
        <v>0</v>
      </c>
      <c r="E97" s="167"/>
      <c r="F97" s="197">
        <f>F72</f>
        <v>0</v>
      </c>
      <c r="G97" s="168"/>
      <c r="H97" s="197">
        <f>B97+D97</f>
        <v>0</v>
      </c>
      <c r="I97" s="168">
        <f>I72</f>
        <v>0</v>
      </c>
      <c r="J97" s="197">
        <f>J72</f>
        <v>8990.9999999999982</v>
      </c>
      <c r="K97" s="168"/>
      <c r="L97" s="169"/>
      <c r="M97" s="169"/>
      <c r="N97" s="169"/>
      <c r="O97" s="170"/>
      <c r="P97" s="170"/>
      <c r="Q97" s="197">
        <f>Q72</f>
        <v>18.829999999999998</v>
      </c>
      <c r="R97" s="168"/>
      <c r="S97" s="231">
        <f t="shared" ref="S97:S104" si="36">S72</f>
        <v>27.428999999999998</v>
      </c>
    </row>
    <row r="98" spans="1:19" x14ac:dyDescent="0.25">
      <c r="A98" s="165">
        <f t="shared" ref="A98:A103" si="37">A73</f>
        <v>41729</v>
      </c>
      <c r="B98" s="211"/>
      <c r="C98" s="212">
        <f>C73</f>
        <v>0</v>
      </c>
      <c r="D98" s="211"/>
      <c r="E98" s="213">
        <f>E73</f>
        <v>0</v>
      </c>
      <c r="F98" s="211"/>
      <c r="G98" s="273">
        <f>G73</f>
        <v>0</v>
      </c>
      <c r="H98" s="211"/>
      <c r="I98" s="185"/>
      <c r="J98" s="211"/>
      <c r="K98" s="185">
        <f t="shared" ref="K98:P98" si="38">K73</f>
        <v>327.79</v>
      </c>
      <c r="L98" s="186">
        <f t="shared" si="38"/>
        <v>327.73</v>
      </c>
      <c r="M98" s="186">
        <f t="shared" si="38"/>
        <v>8990.9999999999982</v>
      </c>
      <c r="N98" s="186">
        <f t="shared" si="38"/>
        <v>-6.0000000000002274E-2</v>
      </c>
      <c r="O98" s="187">
        <f t="shared" si="38"/>
        <v>308.27999999999997</v>
      </c>
      <c r="P98" s="187">
        <f t="shared" si="38"/>
        <v>8457.3499999999985</v>
      </c>
      <c r="Q98" s="211"/>
      <c r="R98" s="185">
        <f>R73</f>
        <v>0</v>
      </c>
      <c r="S98" s="231">
        <f t="shared" si="36"/>
        <v>27.434000000000001</v>
      </c>
    </row>
    <row r="99" spans="1:19" x14ac:dyDescent="0.25">
      <c r="A99" s="162">
        <f t="shared" si="37"/>
        <v>41749</v>
      </c>
      <c r="B99" s="198">
        <f>B74</f>
        <v>471.85</v>
      </c>
      <c r="C99" s="214"/>
      <c r="D99" s="203">
        <f>D74</f>
        <v>66.150000000000006</v>
      </c>
      <c r="E99" s="214"/>
      <c r="F99" s="203">
        <f>F74</f>
        <v>16</v>
      </c>
      <c r="G99" s="188"/>
      <c r="H99" s="198">
        <f>B99+D99</f>
        <v>538</v>
      </c>
      <c r="I99" s="188">
        <f>I74</f>
        <v>20.190000000000001</v>
      </c>
      <c r="J99" s="198">
        <f>J74</f>
        <v>8519.1499999999978</v>
      </c>
      <c r="K99" s="188"/>
      <c r="L99" s="189"/>
      <c r="M99" s="189"/>
      <c r="N99" s="189"/>
      <c r="O99" s="190"/>
      <c r="P99" s="190"/>
      <c r="Q99" s="198">
        <f>Q74</f>
        <v>22.31</v>
      </c>
      <c r="R99" s="188"/>
      <c r="S99" s="231">
        <f t="shared" si="36"/>
        <v>27.443999999999999</v>
      </c>
    </row>
    <row r="100" spans="1:19" x14ac:dyDescent="0.25">
      <c r="A100" s="165">
        <f t="shared" si="37"/>
        <v>41759</v>
      </c>
      <c r="B100" s="217"/>
      <c r="C100" s="212">
        <f>C75</f>
        <v>17.2</v>
      </c>
      <c r="D100" s="217"/>
      <c r="E100" s="212">
        <f>E75</f>
        <v>2.41</v>
      </c>
      <c r="F100" s="217"/>
      <c r="G100" s="273">
        <f>G75</f>
        <v>0.57999999999999996</v>
      </c>
      <c r="H100" s="217"/>
      <c r="I100" s="218"/>
      <c r="J100" s="217"/>
      <c r="K100" s="185">
        <f t="shared" ref="K100:P100" si="39">K75</f>
        <v>310.52999999999997</v>
      </c>
      <c r="L100" s="186">
        <f t="shared" si="39"/>
        <v>310.08</v>
      </c>
      <c r="M100" s="186">
        <f t="shared" si="39"/>
        <v>8519.1499999999978</v>
      </c>
      <c r="N100" s="186">
        <f t="shared" si="39"/>
        <v>-0.44999999999998863</v>
      </c>
      <c r="O100" s="187">
        <f t="shared" si="39"/>
        <v>310.08</v>
      </c>
      <c r="P100" s="187">
        <f t="shared" si="39"/>
        <v>8519.1499999999978</v>
      </c>
      <c r="Q100" s="217"/>
      <c r="R100" s="218">
        <f>R75</f>
        <v>0.81</v>
      </c>
      <c r="S100" s="231">
        <f t="shared" si="36"/>
        <v>27.474</v>
      </c>
    </row>
    <row r="101" spans="1:19" s="37" customFormat="1" x14ac:dyDescent="0.25">
      <c r="A101" s="220">
        <f t="shared" si="37"/>
        <v>41779</v>
      </c>
      <c r="B101" s="198">
        <f>B76</f>
        <v>470.83</v>
      </c>
      <c r="C101" s="214"/>
      <c r="D101" s="203">
        <f>D76</f>
        <v>67.17</v>
      </c>
      <c r="E101" s="214"/>
      <c r="F101" s="203">
        <f>F76</f>
        <v>16</v>
      </c>
      <c r="G101" s="188"/>
      <c r="H101" s="198">
        <f>B101+D101</f>
        <v>538</v>
      </c>
      <c r="I101" s="188">
        <f>I76</f>
        <v>20.170000000000002</v>
      </c>
      <c r="J101" s="198">
        <f>J76</f>
        <v>8048.32</v>
      </c>
      <c r="K101" s="223"/>
      <c r="L101" s="178"/>
      <c r="M101" s="178"/>
      <c r="N101" s="178"/>
      <c r="O101" s="179"/>
      <c r="P101" s="179"/>
      <c r="Q101" s="221">
        <f>Q76</f>
        <v>23.18</v>
      </c>
      <c r="R101" s="223"/>
      <c r="S101" s="231">
        <f t="shared" si="36"/>
        <v>27.472000000000001</v>
      </c>
    </row>
    <row r="102" spans="1:19" x14ac:dyDescent="0.25">
      <c r="A102" s="165">
        <f t="shared" si="37"/>
        <v>41790</v>
      </c>
      <c r="B102" s="217"/>
      <c r="C102" s="212">
        <f>C77</f>
        <v>17.14</v>
      </c>
      <c r="D102" s="217"/>
      <c r="E102" s="212">
        <f>E77</f>
        <v>2.4500000000000002</v>
      </c>
      <c r="F102" s="217"/>
      <c r="G102" s="273">
        <f>G77</f>
        <v>0.57999999999999996</v>
      </c>
      <c r="H102" s="217"/>
      <c r="I102" s="218"/>
      <c r="J102" s="217"/>
      <c r="K102" s="185">
        <f t="shared" ref="K102:P102" si="40">K77</f>
        <v>292.94</v>
      </c>
      <c r="L102" s="186">
        <f t="shared" si="40"/>
        <v>292.99</v>
      </c>
      <c r="M102" s="186">
        <f t="shared" si="40"/>
        <v>8048.32</v>
      </c>
      <c r="N102" s="186">
        <f t="shared" si="40"/>
        <v>5.0000000000011369E-2</v>
      </c>
      <c r="O102" s="187">
        <f t="shared" si="40"/>
        <v>292.99</v>
      </c>
      <c r="P102" s="187">
        <f t="shared" si="40"/>
        <v>8048.32</v>
      </c>
      <c r="Q102" s="217"/>
      <c r="R102" s="218">
        <f>R77</f>
        <v>0.84</v>
      </c>
      <c r="S102" s="231">
        <f t="shared" si="36"/>
        <v>27.47</v>
      </c>
    </row>
    <row r="103" spans="1:19" x14ac:dyDescent="0.25">
      <c r="A103" s="220">
        <f t="shared" si="37"/>
        <v>41810</v>
      </c>
      <c r="B103" s="198">
        <f>B78</f>
        <v>472.42</v>
      </c>
      <c r="C103" s="214"/>
      <c r="D103" s="203">
        <f>D78</f>
        <v>65.58</v>
      </c>
      <c r="E103" s="214"/>
      <c r="F103" s="203">
        <f>F78</f>
        <v>16</v>
      </c>
      <c r="G103" s="188"/>
      <c r="H103" s="198">
        <f>B103+D103</f>
        <v>538</v>
      </c>
      <c r="I103" s="188">
        <f>I78</f>
        <v>20.170000000000002</v>
      </c>
      <c r="J103" s="198">
        <f>J78</f>
        <v>7575.9</v>
      </c>
      <c r="K103" s="223"/>
      <c r="L103" s="178"/>
      <c r="M103" s="178"/>
      <c r="N103" s="178"/>
      <c r="O103" s="179"/>
      <c r="P103" s="179"/>
      <c r="Q103" s="221">
        <f>Q78</f>
        <v>19.84</v>
      </c>
      <c r="R103" s="223"/>
      <c r="S103" s="231">
        <f t="shared" si="36"/>
        <v>27.472999999999999</v>
      </c>
    </row>
    <row r="104" spans="1:19" x14ac:dyDescent="0.25">
      <c r="A104" s="165">
        <f>EOMONTH(A79,0)</f>
        <v>41820</v>
      </c>
      <c r="B104" s="217"/>
      <c r="C104" s="212">
        <f>C79</f>
        <v>17.2</v>
      </c>
      <c r="D104" s="217"/>
      <c r="E104" s="212">
        <f>E79</f>
        <v>2.39</v>
      </c>
      <c r="F104" s="217"/>
      <c r="G104" s="273">
        <f>G79</f>
        <v>0.57999999999999996</v>
      </c>
      <c r="H104" s="217"/>
      <c r="I104" s="218"/>
      <c r="J104" s="217"/>
      <c r="K104" s="185">
        <f t="shared" ref="K104:P104" si="41">K79</f>
        <v>275.79000000000002</v>
      </c>
      <c r="L104" s="186">
        <f t="shared" si="41"/>
        <v>275.74</v>
      </c>
      <c r="M104" s="186">
        <f t="shared" si="41"/>
        <v>7575.9</v>
      </c>
      <c r="N104" s="186">
        <f t="shared" si="41"/>
        <v>-5.0000000000011369E-2</v>
      </c>
      <c r="O104" s="187">
        <f t="shared" si="41"/>
        <v>275.74</v>
      </c>
      <c r="P104" s="187">
        <f t="shared" si="41"/>
        <v>7575.9</v>
      </c>
      <c r="Q104" s="217"/>
      <c r="R104" s="218">
        <f>R79</f>
        <v>0.72</v>
      </c>
      <c r="S104" s="231">
        <f t="shared" si="36"/>
        <v>27.475000000000001</v>
      </c>
    </row>
    <row r="105" spans="1:19" x14ac:dyDescent="0.25">
      <c r="A105" s="166">
        <f>A80</f>
        <v>41840</v>
      </c>
      <c r="B105" s="203">
        <f>B80</f>
        <v>478.27</v>
      </c>
      <c r="C105" s="214"/>
      <c r="D105" s="203">
        <f>D80</f>
        <v>59.73</v>
      </c>
      <c r="E105" s="214"/>
      <c r="F105" s="203">
        <f>F80</f>
        <v>16</v>
      </c>
      <c r="G105" s="188"/>
      <c r="H105" s="198">
        <f>B105+D105</f>
        <v>538</v>
      </c>
      <c r="I105" s="188">
        <f>ROUND((B105+D105+F105)/S105,2)</f>
        <v>20.170000000000002</v>
      </c>
      <c r="J105" s="198">
        <f>J80</f>
        <v>7097.6299999999992</v>
      </c>
      <c r="K105" s="175"/>
      <c r="L105" s="176"/>
      <c r="M105" s="176"/>
      <c r="N105" s="176"/>
      <c r="O105" s="177"/>
      <c r="P105" s="177"/>
      <c r="Q105" s="203">
        <f>Q80</f>
        <v>20.440000000000001</v>
      </c>
      <c r="R105" s="188"/>
      <c r="S105" s="228">
        <f>27.472</f>
        <v>27.472000000000001</v>
      </c>
    </row>
    <row r="106" spans="1:19" ht="15.75" thickBot="1" x14ac:dyDescent="0.3">
      <c r="A106" s="163">
        <f>EOMONTH(A105,0)</f>
        <v>41851</v>
      </c>
      <c r="B106" s="215"/>
      <c r="C106" s="201">
        <f>ROUND(B105/S104,2)</f>
        <v>17.41</v>
      </c>
      <c r="D106" s="215"/>
      <c r="E106" s="201">
        <f>ROUND(D105/S105,2)</f>
        <v>2.17</v>
      </c>
      <c r="F106" s="215"/>
      <c r="G106" s="279">
        <f>ROUND(F105/S106,2)</f>
        <v>0.57999999999999996</v>
      </c>
      <c r="H106" s="215"/>
      <c r="I106" s="191"/>
      <c r="J106" s="215"/>
      <c r="K106" s="191">
        <f>ROUND(SUM(B107:B120)/S104,2)</f>
        <v>258.33</v>
      </c>
      <c r="L106" s="173">
        <f>ROUND(SUM(B107:B120)/S106,2)</f>
        <v>258.37</v>
      </c>
      <c r="M106" s="173">
        <f>J105</f>
        <v>7097.6299999999992</v>
      </c>
      <c r="N106" s="173">
        <f>L106-K106</f>
        <v>4.0000000000020464E-2</v>
      </c>
      <c r="O106" s="174">
        <f>ROUND(P106/S106,2)</f>
        <v>258.37</v>
      </c>
      <c r="P106" s="174">
        <f>SUM(B107:B120)</f>
        <v>7097.6299999999992</v>
      </c>
      <c r="Q106" s="215"/>
      <c r="R106" s="191">
        <f>ROUND(Q105/S106,2)</f>
        <v>0.74</v>
      </c>
      <c r="S106" s="229">
        <v>27.471</v>
      </c>
    </row>
    <row r="107" spans="1:19" ht="15.75" thickTop="1" x14ac:dyDescent="0.25">
      <c r="A107" s="166">
        <f>A81</f>
        <v>41871</v>
      </c>
      <c r="B107" s="216">
        <f>B81</f>
        <v>480.16</v>
      </c>
      <c r="C107" s="204"/>
      <c r="D107" s="216">
        <f>D81</f>
        <v>57.84</v>
      </c>
      <c r="E107" s="204"/>
      <c r="F107" s="216">
        <f>F81</f>
        <v>16</v>
      </c>
      <c r="G107" s="192"/>
      <c r="H107" s="198">
        <f t="shared" ref="H107:H120" si="42">B107+D107</f>
        <v>538</v>
      </c>
      <c r="I107" s="192"/>
      <c r="J107" s="216">
        <f>J81</f>
        <v>6617.4699999999993</v>
      </c>
      <c r="K107" s="192"/>
      <c r="L107" s="193"/>
      <c r="M107" s="193"/>
      <c r="N107" s="193"/>
      <c r="O107" s="194"/>
      <c r="P107" s="194"/>
      <c r="Q107" s="216">
        <f>Q81</f>
        <v>19.059999999999999</v>
      </c>
      <c r="R107" s="192"/>
      <c r="S107" s="228"/>
    </row>
    <row r="108" spans="1:19" x14ac:dyDescent="0.25">
      <c r="A108" s="166">
        <f>A82</f>
        <v>41902</v>
      </c>
      <c r="B108" s="216">
        <f>B82</f>
        <v>484.08</v>
      </c>
      <c r="C108" s="205"/>
      <c r="D108" s="216">
        <f>D82</f>
        <v>53.92</v>
      </c>
      <c r="E108" s="205"/>
      <c r="F108" s="216">
        <f>F82</f>
        <v>16</v>
      </c>
      <c r="G108" s="206"/>
      <c r="H108" s="198">
        <f t="shared" si="42"/>
        <v>538</v>
      </c>
      <c r="I108" s="206"/>
      <c r="J108" s="216">
        <f>J82</f>
        <v>6133.3899999999994</v>
      </c>
      <c r="K108" s="192"/>
      <c r="L108" s="195"/>
      <c r="M108" s="195"/>
      <c r="N108" s="195"/>
      <c r="O108" s="196"/>
      <c r="P108" s="196"/>
      <c r="Q108" s="216">
        <f>Q82</f>
        <v>16.059999999999999</v>
      </c>
      <c r="R108" s="206"/>
      <c r="S108" s="228"/>
    </row>
    <row r="109" spans="1:19" x14ac:dyDescent="0.25">
      <c r="A109" s="166">
        <f>A83</f>
        <v>41932</v>
      </c>
      <c r="B109" s="216">
        <f t="shared" ref="B109:B120" si="43">B83</f>
        <v>489.64</v>
      </c>
      <c r="C109" s="205"/>
      <c r="D109" s="216">
        <f t="shared" ref="D109:F120" si="44">D83</f>
        <v>48.36</v>
      </c>
      <c r="E109" s="205"/>
      <c r="F109" s="216">
        <f t="shared" si="44"/>
        <v>16</v>
      </c>
      <c r="G109" s="206"/>
      <c r="H109" s="198">
        <f t="shared" si="42"/>
        <v>538</v>
      </c>
      <c r="I109" s="206"/>
      <c r="J109" s="216">
        <f t="shared" ref="J109:J120" si="45">J83</f>
        <v>5643.75</v>
      </c>
      <c r="K109" s="192"/>
      <c r="L109" s="178"/>
      <c r="M109" s="178"/>
      <c r="N109" s="178"/>
      <c r="O109" s="179"/>
      <c r="P109" s="179"/>
      <c r="Q109" s="216">
        <f t="shared" ref="Q109:Q120" si="46">Q83</f>
        <v>16.25</v>
      </c>
      <c r="R109" s="206"/>
      <c r="S109" s="228"/>
    </row>
    <row r="110" spans="1:19" x14ac:dyDescent="0.25">
      <c r="A110" s="166">
        <f>A84</f>
        <v>41963</v>
      </c>
      <c r="B110" s="216">
        <f t="shared" si="43"/>
        <v>492.01</v>
      </c>
      <c r="C110" s="205"/>
      <c r="D110" s="216">
        <f t="shared" si="44"/>
        <v>45.99</v>
      </c>
      <c r="E110" s="205"/>
      <c r="F110" s="216">
        <f t="shared" si="44"/>
        <v>16</v>
      </c>
      <c r="G110" s="206"/>
      <c r="H110" s="198">
        <f t="shared" si="42"/>
        <v>538</v>
      </c>
      <c r="I110" s="206"/>
      <c r="J110" s="216">
        <f t="shared" si="45"/>
        <v>5151.74</v>
      </c>
      <c r="K110" s="192"/>
      <c r="L110" s="178"/>
      <c r="M110" s="178"/>
      <c r="N110" s="178"/>
      <c r="O110" s="179"/>
      <c r="P110" s="179"/>
      <c r="Q110" s="216">
        <f t="shared" si="46"/>
        <v>13.49</v>
      </c>
      <c r="R110" s="206"/>
      <c r="S110" s="228"/>
    </row>
    <row r="111" spans="1:19" x14ac:dyDescent="0.25">
      <c r="A111" s="166">
        <f>A85</f>
        <v>41993</v>
      </c>
      <c r="B111" s="216">
        <f t="shared" si="43"/>
        <v>497.38</v>
      </c>
      <c r="C111" s="205"/>
      <c r="D111" s="216">
        <f t="shared" si="44"/>
        <v>40.619999999999997</v>
      </c>
      <c r="E111" s="205"/>
      <c r="F111" s="216">
        <f t="shared" si="44"/>
        <v>16</v>
      </c>
      <c r="G111" s="206"/>
      <c r="H111" s="198">
        <f t="shared" si="42"/>
        <v>538</v>
      </c>
      <c r="I111" s="206"/>
      <c r="J111" s="216">
        <f t="shared" si="45"/>
        <v>4654.3599999999997</v>
      </c>
      <c r="K111" s="192"/>
      <c r="L111" s="178"/>
      <c r="M111" s="178"/>
      <c r="N111" s="178"/>
      <c r="O111" s="179"/>
      <c r="P111" s="179"/>
      <c r="Q111" s="216">
        <f t="shared" si="46"/>
        <v>13.4</v>
      </c>
      <c r="R111" s="206"/>
      <c r="S111" s="228"/>
    </row>
    <row r="112" spans="1:19" x14ac:dyDescent="0.25">
      <c r="A112" s="166">
        <f>A86</f>
        <v>42024</v>
      </c>
      <c r="B112" s="216">
        <f t="shared" si="43"/>
        <v>500.07</v>
      </c>
      <c r="C112" s="205"/>
      <c r="D112" s="216">
        <f t="shared" si="44"/>
        <v>37.93</v>
      </c>
      <c r="E112" s="205"/>
      <c r="F112" s="216">
        <f t="shared" si="44"/>
        <v>16</v>
      </c>
      <c r="G112" s="206"/>
      <c r="H112" s="198">
        <f t="shared" si="42"/>
        <v>538</v>
      </c>
      <c r="I112" s="206"/>
      <c r="J112" s="216">
        <f t="shared" si="45"/>
        <v>4154.29</v>
      </c>
      <c r="K112" s="192"/>
      <c r="L112" s="178"/>
      <c r="M112" s="178"/>
      <c r="N112" s="178"/>
      <c r="O112" s="179"/>
      <c r="P112" s="179"/>
      <c r="Q112" s="216">
        <f t="shared" si="46"/>
        <v>11.96</v>
      </c>
      <c r="R112" s="206"/>
      <c r="S112" s="228"/>
    </row>
    <row r="113" spans="1:19" s="15" customFormat="1" x14ac:dyDescent="0.25">
      <c r="A113" s="160">
        <f t="shared" ref="A113:A117" si="47">EDATE(A112,1)</f>
        <v>42055</v>
      </c>
      <c r="B113" s="216">
        <f t="shared" si="43"/>
        <v>504.15</v>
      </c>
      <c r="C113" s="205"/>
      <c r="D113" s="216">
        <f t="shared" si="44"/>
        <v>33.85</v>
      </c>
      <c r="E113" s="205"/>
      <c r="F113" s="216">
        <f t="shared" si="44"/>
        <v>16</v>
      </c>
      <c r="G113" s="206"/>
      <c r="H113" s="198">
        <f t="shared" si="42"/>
        <v>538</v>
      </c>
      <c r="I113" s="206"/>
      <c r="J113" s="216">
        <f t="shared" si="45"/>
        <v>3650.1400000000003</v>
      </c>
      <c r="K113" s="175"/>
      <c r="L113" s="178"/>
      <c r="M113" s="178"/>
      <c r="N113" s="178"/>
      <c r="O113" s="179"/>
      <c r="P113" s="179"/>
      <c r="Q113" s="216">
        <f t="shared" si="46"/>
        <v>7.65</v>
      </c>
      <c r="R113" s="206"/>
      <c r="S113" s="228"/>
    </row>
    <row r="114" spans="1:19" s="15" customFormat="1" x14ac:dyDescent="0.25">
      <c r="A114" s="160">
        <f t="shared" si="47"/>
        <v>42083</v>
      </c>
      <c r="B114" s="216">
        <f t="shared" si="43"/>
        <v>511.15</v>
      </c>
      <c r="C114" s="205"/>
      <c r="D114" s="216">
        <f t="shared" si="44"/>
        <v>26.85</v>
      </c>
      <c r="E114" s="205"/>
      <c r="F114" s="216">
        <f t="shared" si="44"/>
        <v>16</v>
      </c>
      <c r="G114" s="206"/>
      <c r="H114" s="198">
        <f t="shared" si="42"/>
        <v>538</v>
      </c>
      <c r="I114" s="206"/>
      <c r="J114" s="216">
        <f t="shared" si="45"/>
        <v>3138.9900000000002</v>
      </c>
      <c r="K114" s="175"/>
      <c r="L114" s="178"/>
      <c r="M114" s="178"/>
      <c r="N114" s="178"/>
      <c r="O114" s="179"/>
      <c r="P114" s="179"/>
      <c r="Q114" s="216">
        <f t="shared" si="46"/>
        <v>9.0399999999999991</v>
      </c>
      <c r="R114" s="206"/>
      <c r="S114" s="228"/>
    </row>
    <row r="115" spans="1:19" s="15" customFormat="1" x14ac:dyDescent="0.25">
      <c r="A115" s="160">
        <f t="shared" si="47"/>
        <v>42114</v>
      </c>
      <c r="B115" s="216">
        <f t="shared" si="43"/>
        <v>512.41999999999996</v>
      </c>
      <c r="C115" s="205"/>
      <c r="D115" s="216">
        <f t="shared" si="44"/>
        <v>25.58</v>
      </c>
      <c r="E115" s="205"/>
      <c r="F115" s="216">
        <f t="shared" si="44"/>
        <v>16</v>
      </c>
      <c r="G115" s="206"/>
      <c r="H115" s="198">
        <f t="shared" si="42"/>
        <v>538</v>
      </c>
      <c r="I115" s="206"/>
      <c r="J115" s="216">
        <f t="shared" si="45"/>
        <v>2626.57</v>
      </c>
      <c r="K115" s="175"/>
      <c r="L115" s="178"/>
      <c r="M115" s="178"/>
      <c r="N115" s="178"/>
      <c r="O115" s="179"/>
      <c r="P115" s="179"/>
      <c r="Q115" s="216">
        <f t="shared" si="46"/>
        <v>6.88</v>
      </c>
      <c r="R115" s="206"/>
      <c r="S115" s="228"/>
    </row>
    <row r="116" spans="1:19" s="15" customFormat="1" x14ac:dyDescent="0.25">
      <c r="A116" s="160">
        <f t="shared" si="47"/>
        <v>42144</v>
      </c>
      <c r="B116" s="216">
        <f t="shared" si="43"/>
        <v>517.29</v>
      </c>
      <c r="C116" s="205"/>
      <c r="D116" s="216">
        <f t="shared" si="44"/>
        <v>20.71</v>
      </c>
      <c r="E116" s="205"/>
      <c r="F116" s="216">
        <f t="shared" si="44"/>
        <v>16</v>
      </c>
      <c r="G116" s="206"/>
      <c r="H116" s="198">
        <f t="shared" si="42"/>
        <v>538</v>
      </c>
      <c r="I116" s="206"/>
      <c r="J116" s="216">
        <f t="shared" si="45"/>
        <v>2109.2800000000002</v>
      </c>
      <c r="K116" s="175"/>
      <c r="L116" s="178"/>
      <c r="M116" s="178"/>
      <c r="N116" s="178"/>
      <c r="O116" s="179"/>
      <c r="P116" s="179"/>
      <c r="Q116" s="216">
        <f t="shared" si="46"/>
        <v>6.07</v>
      </c>
      <c r="R116" s="206"/>
      <c r="S116" s="228"/>
    </row>
    <row r="117" spans="1:19" s="15" customFormat="1" x14ac:dyDescent="0.25">
      <c r="A117" s="160">
        <f t="shared" si="47"/>
        <v>42175</v>
      </c>
      <c r="B117" s="216">
        <f t="shared" si="43"/>
        <v>520.80999999999995</v>
      </c>
      <c r="C117" s="205"/>
      <c r="D117" s="216">
        <f t="shared" si="44"/>
        <v>17.190000000000001</v>
      </c>
      <c r="E117" s="205"/>
      <c r="F117" s="216">
        <f t="shared" si="44"/>
        <v>16</v>
      </c>
      <c r="G117" s="206"/>
      <c r="H117" s="198">
        <f t="shared" si="42"/>
        <v>538</v>
      </c>
      <c r="I117" s="206"/>
      <c r="J117" s="216">
        <f t="shared" si="45"/>
        <v>1588.4700000000003</v>
      </c>
      <c r="K117" s="175"/>
      <c r="L117" s="178"/>
      <c r="M117" s="178"/>
      <c r="N117" s="178"/>
      <c r="O117" s="179"/>
      <c r="P117" s="179"/>
      <c r="Q117" s="216">
        <f t="shared" si="46"/>
        <v>4.16</v>
      </c>
      <c r="R117" s="206"/>
      <c r="S117" s="228"/>
    </row>
    <row r="118" spans="1:19" x14ac:dyDescent="0.25">
      <c r="A118" s="166">
        <f>A92</f>
        <v>42205</v>
      </c>
      <c r="B118" s="216">
        <f t="shared" si="43"/>
        <v>525.48</v>
      </c>
      <c r="C118" s="205"/>
      <c r="D118" s="216">
        <f t="shared" si="44"/>
        <v>12.52</v>
      </c>
      <c r="E118" s="205"/>
      <c r="F118" s="216">
        <f t="shared" si="44"/>
        <v>16</v>
      </c>
      <c r="G118" s="206"/>
      <c r="H118" s="198">
        <f t="shared" si="42"/>
        <v>538</v>
      </c>
      <c r="I118" s="206"/>
      <c r="J118" s="216">
        <f t="shared" si="45"/>
        <v>1062.99</v>
      </c>
      <c r="K118" s="192"/>
      <c r="L118" s="178"/>
      <c r="M118" s="178"/>
      <c r="N118" s="178"/>
      <c r="O118" s="179"/>
      <c r="P118" s="179"/>
      <c r="Q118" s="216">
        <f t="shared" si="46"/>
        <v>3.06</v>
      </c>
      <c r="R118" s="206"/>
      <c r="S118" s="228"/>
    </row>
    <row r="119" spans="1:19" x14ac:dyDescent="0.25">
      <c r="A119" s="166">
        <f>A93</f>
        <v>42236</v>
      </c>
      <c r="B119" s="216">
        <f t="shared" si="43"/>
        <v>529.34</v>
      </c>
      <c r="C119" s="205"/>
      <c r="D119" s="216">
        <f t="shared" si="44"/>
        <v>8.66</v>
      </c>
      <c r="E119" s="205"/>
      <c r="F119" s="216">
        <f t="shared" si="44"/>
        <v>16</v>
      </c>
      <c r="G119" s="206"/>
      <c r="H119" s="198">
        <f t="shared" si="42"/>
        <v>538</v>
      </c>
      <c r="I119" s="206"/>
      <c r="J119" s="216">
        <f t="shared" si="45"/>
        <v>533.65</v>
      </c>
      <c r="K119" s="192"/>
      <c r="L119" s="178"/>
      <c r="M119" s="178"/>
      <c r="N119" s="178"/>
      <c r="O119" s="179"/>
      <c r="P119" s="179"/>
      <c r="Q119" s="216">
        <f t="shared" si="46"/>
        <v>1.54</v>
      </c>
      <c r="R119" s="206"/>
      <c r="S119" s="228"/>
    </row>
    <row r="120" spans="1:19" ht="15.75" thickBot="1" x14ac:dyDescent="0.3">
      <c r="A120" s="166">
        <f>A94</f>
        <v>42267</v>
      </c>
      <c r="B120" s="216">
        <f t="shared" si="43"/>
        <v>533.65</v>
      </c>
      <c r="C120" s="205"/>
      <c r="D120" s="216">
        <f t="shared" si="44"/>
        <v>4.3499999999999996</v>
      </c>
      <c r="E120" s="205"/>
      <c r="F120" s="216">
        <f t="shared" si="44"/>
        <v>16</v>
      </c>
      <c r="G120" s="206"/>
      <c r="H120" s="198">
        <f t="shared" si="42"/>
        <v>538</v>
      </c>
      <c r="I120" s="206"/>
      <c r="J120" s="216">
        <f t="shared" si="45"/>
        <v>0</v>
      </c>
      <c r="K120" s="192"/>
      <c r="L120" s="178"/>
      <c r="M120" s="178"/>
      <c r="N120" s="178"/>
      <c r="O120" s="179"/>
      <c r="P120" s="179"/>
      <c r="Q120" s="216">
        <f t="shared" si="46"/>
        <v>0</v>
      </c>
      <c r="R120" s="206"/>
      <c r="S120" s="228"/>
    </row>
    <row r="121" spans="1:19" ht="15.75" thickBot="1" x14ac:dyDescent="0.3">
      <c r="A121" s="164"/>
      <c r="B121" s="207">
        <f>SUM(B97:B120)</f>
        <v>8990.9999999999982</v>
      </c>
      <c r="C121" s="208"/>
      <c r="D121" s="207">
        <f>SUM(D97:D120)</f>
        <v>693.00000000000023</v>
      </c>
      <c r="E121" s="208"/>
      <c r="F121" s="207">
        <f>SUM(F97:F120)</f>
        <v>288</v>
      </c>
      <c r="G121" s="209"/>
      <c r="H121" s="207">
        <f>SUM(H97:H120)</f>
        <v>9684</v>
      </c>
      <c r="I121" s="209"/>
      <c r="J121" s="207">
        <f>SUM(J97:J120)</f>
        <v>87297.09</v>
      </c>
      <c r="K121" s="209"/>
      <c r="L121" s="180"/>
      <c r="M121" s="180"/>
      <c r="N121" s="181">
        <f>SUM(N98:N108)</f>
        <v>-0.46999999999997044</v>
      </c>
      <c r="O121" s="182"/>
      <c r="P121" s="182"/>
      <c r="Q121" s="207">
        <f>SUM(Q97:Q120)</f>
        <v>233.22</v>
      </c>
      <c r="R121" s="210"/>
      <c r="S121" s="227"/>
    </row>
    <row r="122" spans="1:19" ht="15.75" thickBot="1" x14ac:dyDescent="0.3">
      <c r="A122" s="219"/>
      <c r="B122" s="199"/>
      <c r="C122" s="183"/>
      <c r="D122" s="199"/>
      <c r="E122" s="183"/>
      <c r="F122" s="199"/>
      <c r="G122" s="272"/>
      <c r="H122" s="199"/>
      <c r="I122" s="184"/>
      <c r="J122" s="199"/>
      <c r="K122" s="184"/>
      <c r="L122" s="184"/>
      <c r="M122" s="184"/>
      <c r="N122" s="184"/>
      <c r="O122" s="184"/>
      <c r="P122" s="184"/>
      <c r="Q122" s="199"/>
      <c r="R122" s="184"/>
      <c r="S122" s="230"/>
    </row>
    <row r="123" spans="1:19" x14ac:dyDescent="0.25">
      <c r="A123" s="161">
        <f>A97</f>
        <v>41721</v>
      </c>
      <c r="B123" s="197">
        <f>B97</f>
        <v>0</v>
      </c>
      <c r="C123" s="167"/>
      <c r="D123" s="197">
        <f>D97</f>
        <v>0</v>
      </c>
      <c r="E123" s="167"/>
      <c r="F123" s="197">
        <f>F97</f>
        <v>0</v>
      </c>
      <c r="G123" s="168"/>
      <c r="H123" s="197">
        <f>B123+D123</f>
        <v>0</v>
      </c>
      <c r="I123" s="168">
        <f>I97</f>
        <v>0</v>
      </c>
      <c r="J123" s="197">
        <f>J97</f>
        <v>8990.9999999999982</v>
      </c>
      <c r="K123" s="168"/>
      <c r="L123" s="169"/>
      <c r="M123" s="169"/>
      <c r="N123" s="169"/>
      <c r="O123" s="170"/>
      <c r="P123" s="170"/>
      <c r="Q123" s="197">
        <f>Q97</f>
        <v>18.829999999999998</v>
      </c>
      <c r="R123" s="168"/>
      <c r="S123" s="231">
        <f>S98</f>
        <v>27.434000000000001</v>
      </c>
    </row>
    <row r="124" spans="1:19" x14ac:dyDescent="0.25">
      <c r="A124" s="165">
        <f t="shared" ref="A124:A133" si="48">A98</f>
        <v>41729</v>
      </c>
      <c r="B124" s="211"/>
      <c r="C124" s="212">
        <f>C98</f>
        <v>0</v>
      </c>
      <c r="D124" s="211"/>
      <c r="E124" s="212">
        <f>E98</f>
        <v>0</v>
      </c>
      <c r="F124" s="211"/>
      <c r="G124" s="185">
        <f>G98</f>
        <v>0</v>
      </c>
      <c r="H124" s="211"/>
      <c r="I124" s="185"/>
      <c r="J124" s="211"/>
      <c r="K124" s="185">
        <f t="shared" ref="K124:P124" si="49">K98</f>
        <v>327.79</v>
      </c>
      <c r="L124" s="186">
        <f t="shared" si="49"/>
        <v>327.73</v>
      </c>
      <c r="M124" s="186">
        <f t="shared" si="49"/>
        <v>8990.9999999999982</v>
      </c>
      <c r="N124" s="186">
        <f t="shared" si="49"/>
        <v>-6.0000000000002274E-2</v>
      </c>
      <c r="O124" s="187">
        <f t="shared" si="49"/>
        <v>308.27999999999997</v>
      </c>
      <c r="P124" s="187">
        <f t="shared" si="49"/>
        <v>8457.3499999999985</v>
      </c>
      <c r="Q124" s="211"/>
      <c r="R124" s="185">
        <f>R98</f>
        <v>0</v>
      </c>
      <c r="S124" s="231">
        <f>S98</f>
        <v>27.434000000000001</v>
      </c>
    </row>
    <row r="125" spans="1:19" x14ac:dyDescent="0.25">
      <c r="A125" s="162">
        <f t="shared" si="48"/>
        <v>41749</v>
      </c>
      <c r="B125" s="198">
        <f>B99</f>
        <v>471.85</v>
      </c>
      <c r="C125" s="214"/>
      <c r="D125" s="198">
        <f>D99</f>
        <v>66.150000000000006</v>
      </c>
      <c r="E125" s="214"/>
      <c r="F125" s="198">
        <f>F99</f>
        <v>16</v>
      </c>
      <c r="G125" s="188"/>
      <c r="H125" s="198">
        <f>B125+D125</f>
        <v>538</v>
      </c>
      <c r="I125" s="188">
        <f>I99</f>
        <v>20.190000000000001</v>
      </c>
      <c r="J125" s="198">
        <f>J99</f>
        <v>8519.1499999999978</v>
      </c>
      <c r="K125" s="188"/>
      <c r="L125" s="189"/>
      <c r="M125" s="189"/>
      <c r="N125" s="189"/>
      <c r="O125" s="190"/>
      <c r="P125" s="190"/>
      <c r="Q125" s="198">
        <f>Q99</f>
        <v>22.31</v>
      </c>
      <c r="R125" s="188"/>
      <c r="S125" s="231">
        <f t="shared" ref="S125:S132" si="50">S99</f>
        <v>27.443999999999999</v>
      </c>
    </row>
    <row r="126" spans="1:19" x14ac:dyDescent="0.25">
      <c r="A126" s="165">
        <f t="shared" si="48"/>
        <v>41759</v>
      </c>
      <c r="B126" s="217"/>
      <c r="C126" s="212">
        <f>C100</f>
        <v>17.2</v>
      </c>
      <c r="D126" s="217"/>
      <c r="E126" s="212">
        <f>E100</f>
        <v>2.41</v>
      </c>
      <c r="F126" s="217"/>
      <c r="G126" s="185">
        <f>G100</f>
        <v>0.57999999999999996</v>
      </c>
      <c r="H126" s="217"/>
      <c r="I126" s="218"/>
      <c r="J126" s="211"/>
      <c r="K126" s="185">
        <f t="shared" ref="K126:P126" si="51">K100</f>
        <v>310.52999999999997</v>
      </c>
      <c r="L126" s="186">
        <f t="shared" si="51"/>
        <v>310.08</v>
      </c>
      <c r="M126" s="186">
        <f t="shared" si="51"/>
        <v>8519.1499999999978</v>
      </c>
      <c r="N126" s="186">
        <f t="shared" si="51"/>
        <v>-0.44999999999998863</v>
      </c>
      <c r="O126" s="187">
        <f t="shared" si="51"/>
        <v>310.08</v>
      </c>
      <c r="P126" s="187">
        <f t="shared" si="51"/>
        <v>8519.1499999999978</v>
      </c>
      <c r="Q126" s="211"/>
      <c r="R126" s="185">
        <f>R100</f>
        <v>0.81</v>
      </c>
      <c r="S126" s="231">
        <f t="shared" si="50"/>
        <v>27.474</v>
      </c>
    </row>
    <row r="127" spans="1:19" s="37" customFormat="1" x14ac:dyDescent="0.25">
      <c r="A127" s="220">
        <f t="shared" si="48"/>
        <v>41779</v>
      </c>
      <c r="B127" s="198">
        <f>B101</f>
        <v>470.83</v>
      </c>
      <c r="C127" s="214"/>
      <c r="D127" s="198">
        <f>D101</f>
        <v>67.17</v>
      </c>
      <c r="E127" s="214"/>
      <c r="F127" s="198">
        <f>F101</f>
        <v>16</v>
      </c>
      <c r="G127" s="188"/>
      <c r="H127" s="198">
        <f>B127+D127</f>
        <v>538</v>
      </c>
      <c r="I127" s="188">
        <f>I101</f>
        <v>20.170000000000002</v>
      </c>
      <c r="J127" s="198">
        <f>J101</f>
        <v>8048.32</v>
      </c>
      <c r="K127" s="188"/>
      <c r="L127" s="189"/>
      <c r="M127" s="189"/>
      <c r="N127" s="189"/>
      <c r="O127" s="190"/>
      <c r="P127" s="190"/>
      <c r="Q127" s="198">
        <f>Q101</f>
        <v>23.18</v>
      </c>
      <c r="R127" s="188"/>
      <c r="S127" s="231">
        <f t="shared" si="50"/>
        <v>27.472000000000001</v>
      </c>
    </row>
    <row r="128" spans="1:19" x14ac:dyDescent="0.25">
      <c r="A128" s="165">
        <f t="shared" si="48"/>
        <v>41790</v>
      </c>
      <c r="B128" s="217"/>
      <c r="C128" s="212">
        <f>C102</f>
        <v>17.14</v>
      </c>
      <c r="D128" s="217"/>
      <c r="E128" s="212">
        <f>E102</f>
        <v>2.4500000000000002</v>
      </c>
      <c r="F128" s="217"/>
      <c r="G128" s="185">
        <f>G102</f>
        <v>0.57999999999999996</v>
      </c>
      <c r="H128" s="217"/>
      <c r="I128" s="218"/>
      <c r="J128" s="211"/>
      <c r="K128" s="185">
        <f t="shared" ref="K128:P128" si="52">K102</f>
        <v>292.94</v>
      </c>
      <c r="L128" s="186">
        <f t="shared" si="52"/>
        <v>292.99</v>
      </c>
      <c r="M128" s="186">
        <f t="shared" si="52"/>
        <v>8048.32</v>
      </c>
      <c r="N128" s="186">
        <f t="shared" si="52"/>
        <v>5.0000000000011369E-2</v>
      </c>
      <c r="O128" s="187">
        <f t="shared" si="52"/>
        <v>292.99</v>
      </c>
      <c r="P128" s="187">
        <f t="shared" si="52"/>
        <v>8048.32</v>
      </c>
      <c r="Q128" s="211"/>
      <c r="R128" s="185">
        <f>R102</f>
        <v>0.84</v>
      </c>
      <c r="S128" s="231">
        <f t="shared" si="50"/>
        <v>27.47</v>
      </c>
    </row>
    <row r="129" spans="1:19" x14ac:dyDescent="0.25">
      <c r="A129" s="220">
        <f t="shared" si="48"/>
        <v>41810</v>
      </c>
      <c r="B129" s="198">
        <f>B103</f>
        <v>472.42</v>
      </c>
      <c r="C129" s="214"/>
      <c r="D129" s="198">
        <f>D103</f>
        <v>65.58</v>
      </c>
      <c r="E129" s="214"/>
      <c r="F129" s="198">
        <f>F103</f>
        <v>16</v>
      </c>
      <c r="G129" s="188"/>
      <c r="H129" s="198">
        <f>B129+D129</f>
        <v>538</v>
      </c>
      <c r="I129" s="188">
        <f>I103</f>
        <v>20.170000000000002</v>
      </c>
      <c r="J129" s="198">
        <f>J103</f>
        <v>7575.9</v>
      </c>
      <c r="K129" s="188"/>
      <c r="L129" s="189"/>
      <c r="M129" s="189"/>
      <c r="N129" s="189"/>
      <c r="O129" s="190"/>
      <c r="P129" s="190"/>
      <c r="Q129" s="198">
        <f>Q103</f>
        <v>19.84</v>
      </c>
      <c r="R129" s="188"/>
      <c r="S129" s="231">
        <f t="shared" si="50"/>
        <v>27.472999999999999</v>
      </c>
    </row>
    <row r="130" spans="1:19" x14ac:dyDescent="0.25">
      <c r="A130" s="165">
        <f t="shared" si="48"/>
        <v>41820</v>
      </c>
      <c r="B130" s="217"/>
      <c r="C130" s="212">
        <f>C104</f>
        <v>17.2</v>
      </c>
      <c r="D130" s="217"/>
      <c r="E130" s="212">
        <f>E104</f>
        <v>2.39</v>
      </c>
      <c r="F130" s="217"/>
      <c r="G130" s="185">
        <f>G104</f>
        <v>0.57999999999999996</v>
      </c>
      <c r="H130" s="217"/>
      <c r="I130" s="218"/>
      <c r="J130" s="211"/>
      <c r="K130" s="185">
        <f t="shared" ref="K130:P130" si="53">K104</f>
        <v>275.79000000000002</v>
      </c>
      <c r="L130" s="186">
        <f t="shared" si="53"/>
        <v>275.74</v>
      </c>
      <c r="M130" s="186">
        <f t="shared" si="53"/>
        <v>7575.9</v>
      </c>
      <c r="N130" s="186">
        <f t="shared" si="53"/>
        <v>-5.0000000000011369E-2</v>
      </c>
      <c r="O130" s="187">
        <f t="shared" si="53"/>
        <v>275.74</v>
      </c>
      <c r="P130" s="187">
        <f t="shared" si="53"/>
        <v>7575.9</v>
      </c>
      <c r="Q130" s="211"/>
      <c r="R130" s="185">
        <f>R104</f>
        <v>0.72</v>
      </c>
      <c r="S130" s="231">
        <f t="shared" si="50"/>
        <v>27.475000000000001</v>
      </c>
    </row>
    <row r="131" spans="1:19" x14ac:dyDescent="0.25">
      <c r="A131" s="220">
        <f t="shared" si="48"/>
        <v>41840</v>
      </c>
      <c r="B131" s="198">
        <f>B105</f>
        <v>478.27</v>
      </c>
      <c r="C131" s="214"/>
      <c r="D131" s="198">
        <f>D105</f>
        <v>59.73</v>
      </c>
      <c r="E131" s="214"/>
      <c r="F131" s="198">
        <f>F105</f>
        <v>16</v>
      </c>
      <c r="G131" s="188"/>
      <c r="H131" s="198">
        <f>B131+D131</f>
        <v>538</v>
      </c>
      <c r="I131" s="188">
        <f>I105</f>
        <v>20.170000000000002</v>
      </c>
      <c r="J131" s="198">
        <f>J105</f>
        <v>7097.6299999999992</v>
      </c>
      <c r="K131" s="188"/>
      <c r="L131" s="189"/>
      <c r="M131" s="189"/>
      <c r="N131" s="189"/>
      <c r="O131" s="190"/>
      <c r="P131" s="190"/>
      <c r="Q131" s="198">
        <f>Q105</f>
        <v>20.440000000000001</v>
      </c>
      <c r="R131" s="188"/>
      <c r="S131" s="231">
        <f t="shared" si="50"/>
        <v>27.472000000000001</v>
      </c>
    </row>
    <row r="132" spans="1:19" s="37" customFormat="1" x14ac:dyDescent="0.25">
      <c r="A132" s="165">
        <f t="shared" si="48"/>
        <v>41851</v>
      </c>
      <c r="B132" s="217"/>
      <c r="C132" s="212">
        <f>C106</f>
        <v>17.41</v>
      </c>
      <c r="D132" s="217"/>
      <c r="E132" s="212">
        <f>E106</f>
        <v>2.17</v>
      </c>
      <c r="F132" s="217"/>
      <c r="G132" s="185">
        <f>G106</f>
        <v>0.57999999999999996</v>
      </c>
      <c r="H132" s="217"/>
      <c r="I132" s="218"/>
      <c r="J132" s="211"/>
      <c r="K132" s="185">
        <f t="shared" ref="K132:P132" si="54">K106</f>
        <v>258.33</v>
      </c>
      <c r="L132" s="186">
        <f t="shared" si="54"/>
        <v>258.37</v>
      </c>
      <c r="M132" s="186">
        <f t="shared" si="54"/>
        <v>7097.6299999999992</v>
      </c>
      <c r="N132" s="186">
        <f t="shared" si="54"/>
        <v>4.0000000000020464E-2</v>
      </c>
      <c r="O132" s="187">
        <f t="shared" si="54"/>
        <v>258.37</v>
      </c>
      <c r="P132" s="187">
        <f t="shared" si="54"/>
        <v>7097.6299999999992</v>
      </c>
      <c r="Q132" s="211"/>
      <c r="R132" s="185">
        <f>R106</f>
        <v>0.74</v>
      </c>
      <c r="S132" s="231">
        <f t="shared" si="50"/>
        <v>27.471</v>
      </c>
    </row>
    <row r="133" spans="1:19" x14ac:dyDescent="0.25">
      <c r="A133" s="166">
        <f t="shared" si="48"/>
        <v>41871</v>
      </c>
      <c r="B133" s="198">
        <f>B107</f>
        <v>480.16</v>
      </c>
      <c r="C133" s="214"/>
      <c r="D133" s="198">
        <f>D107</f>
        <v>57.84</v>
      </c>
      <c r="E133" s="214"/>
      <c r="F133" s="198">
        <f>F107</f>
        <v>16</v>
      </c>
      <c r="G133" s="188"/>
      <c r="H133" s="198">
        <f>B133+D133</f>
        <v>538</v>
      </c>
      <c r="I133" s="188">
        <f>ROUND((B133+D133+F133)/S133,2)</f>
        <v>20.18</v>
      </c>
      <c r="J133" s="198">
        <f>J107</f>
        <v>6617.4699999999993</v>
      </c>
      <c r="K133" s="188"/>
      <c r="L133" s="189"/>
      <c r="M133" s="189"/>
      <c r="N133" s="189"/>
      <c r="O133" s="190"/>
      <c r="P133" s="190"/>
      <c r="Q133" s="198">
        <f>Q107</f>
        <v>19.059999999999999</v>
      </c>
      <c r="R133" s="188"/>
      <c r="S133" s="231">
        <v>27.456</v>
      </c>
    </row>
    <row r="134" spans="1:19" ht="15.75" thickBot="1" x14ac:dyDescent="0.3">
      <c r="A134" s="163">
        <f>EOMONTH(A133,0)</f>
        <v>41882</v>
      </c>
      <c r="B134" s="215"/>
      <c r="C134" s="201">
        <f>ROUND(B133/S132,2)</f>
        <v>17.48</v>
      </c>
      <c r="D134" s="215"/>
      <c r="E134" s="201">
        <f>ROUND(D133/S134,2)</f>
        <v>2.11</v>
      </c>
      <c r="F134" s="215"/>
      <c r="G134" s="279">
        <f>ROUND(F133/S134,2)</f>
        <v>0.57999999999999996</v>
      </c>
      <c r="H134" s="215"/>
      <c r="I134" s="191"/>
      <c r="J134" s="215"/>
      <c r="K134" s="191">
        <f>ROUND(SUM(B135:B147)/S132,2)</f>
        <v>240.89</v>
      </c>
      <c r="L134" s="173">
        <f>ROUND(SUM(B135:B147)/S134,2)</f>
        <v>241.43</v>
      </c>
      <c r="M134" s="173">
        <f>J133</f>
        <v>6617.4699999999993</v>
      </c>
      <c r="N134" s="173">
        <f>L134-K134</f>
        <v>0.54000000000002046</v>
      </c>
      <c r="O134" s="174">
        <f>ROUND(P134/S134,2)</f>
        <v>241.43</v>
      </c>
      <c r="P134" s="174">
        <f>SUM(B135:B147)</f>
        <v>6617.4699999999993</v>
      </c>
      <c r="Q134" s="215"/>
      <c r="R134" s="191">
        <f>ROUND(Q133/S134,2)</f>
        <v>0.7</v>
      </c>
      <c r="S134" s="229">
        <v>27.41</v>
      </c>
    </row>
    <row r="135" spans="1:19" ht="15.75" thickTop="1" x14ac:dyDescent="0.25">
      <c r="A135" s="166">
        <f t="shared" ref="A135:B138" si="55">A108</f>
        <v>41902</v>
      </c>
      <c r="B135" s="198">
        <f t="shared" si="55"/>
        <v>484.08</v>
      </c>
      <c r="C135" s="205"/>
      <c r="D135" s="197">
        <f>D108</f>
        <v>53.92</v>
      </c>
      <c r="E135" s="205"/>
      <c r="F135" s="197">
        <f>F108</f>
        <v>16</v>
      </c>
      <c r="G135" s="206"/>
      <c r="H135" s="198">
        <f t="shared" ref="H135:H147" si="56">B135+D135</f>
        <v>538</v>
      </c>
      <c r="I135" s="206"/>
      <c r="J135" s="216">
        <f>J108</f>
        <v>6133.3899999999994</v>
      </c>
      <c r="K135" s="192"/>
      <c r="L135" s="195"/>
      <c r="M135" s="195"/>
      <c r="N135" s="195"/>
      <c r="O135" s="196"/>
      <c r="P135" s="196"/>
      <c r="Q135" s="216">
        <f>Q108</f>
        <v>16.059999999999999</v>
      </c>
      <c r="R135" s="206"/>
      <c r="S135" s="228"/>
    </row>
    <row r="136" spans="1:19" x14ac:dyDescent="0.25">
      <c r="A136" s="166">
        <f t="shared" si="55"/>
        <v>41932</v>
      </c>
      <c r="B136" s="198">
        <f t="shared" si="55"/>
        <v>489.64</v>
      </c>
      <c r="C136" s="205"/>
      <c r="D136" s="216">
        <f>D109</f>
        <v>48.36</v>
      </c>
      <c r="E136" s="205"/>
      <c r="F136" s="216">
        <f>F109</f>
        <v>16</v>
      </c>
      <c r="G136" s="206"/>
      <c r="H136" s="198">
        <f t="shared" si="56"/>
        <v>538</v>
      </c>
      <c r="I136" s="206"/>
      <c r="J136" s="216">
        <f>J109</f>
        <v>5643.75</v>
      </c>
      <c r="K136" s="192"/>
      <c r="L136" s="178"/>
      <c r="M136" s="178"/>
      <c r="N136" s="178"/>
      <c r="O136" s="179"/>
      <c r="P136" s="179"/>
      <c r="Q136" s="216">
        <f>Q109</f>
        <v>16.25</v>
      </c>
      <c r="R136" s="206"/>
      <c r="S136" s="228"/>
    </row>
    <row r="137" spans="1:19" x14ac:dyDescent="0.25">
      <c r="A137" s="166">
        <f t="shared" si="55"/>
        <v>41963</v>
      </c>
      <c r="B137" s="198">
        <f t="shared" si="55"/>
        <v>492.01</v>
      </c>
      <c r="C137" s="205"/>
      <c r="D137" s="216">
        <f>D110</f>
        <v>45.99</v>
      </c>
      <c r="E137" s="205"/>
      <c r="F137" s="216">
        <f>F110</f>
        <v>16</v>
      </c>
      <c r="G137" s="206"/>
      <c r="H137" s="198">
        <f t="shared" si="56"/>
        <v>538</v>
      </c>
      <c r="I137" s="206"/>
      <c r="J137" s="216">
        <f>J110</f>
        <v>5151.74</v>
      </c>
      <c r="K137" s="192"/>
      <c r="L137" s="178"/>
      <c r="M137" s="178"/>
      <c r="N137" s="178"/>
      <c r="O137" s="179"/>
      <c r="P137" s="179"/>
      <c r="Q137" s="216">
        <f t="shared" ref="Q137:Q147" si="57">Q110</f>
        <v>13.49</v>
      </c>
      <c r="R137" s="206"/>
      <c r="S137" s="228"/>
    </row>
    <row r="138" spans="1:19" x14ac:dyDescent="0.25">
      <c r="A138" s="166">
        <f t="shared" si="55"/>
        <v>41993</v>
      </c>
      <c r="B138" s="198">
        <f t="shared" si="55"/>
        <v>497.38</v>
      </c>
      <c r="C138" s="205"/>
      <c r="D138" s="216">
        <f>D111</f>
        <v>40.619999999999997</v>
      </c>
      <c r="E138" s="205"/>
      <c r="F138" s="216">
        <f>F111</f>
        <v>16</v>
      </c>
      <c r="G138" s="206"/>
      <c r="H138" s="198">
        <f t="shared" si="56"/>
        <v>538</v>
      </c>
      <c r="I138" s="206"/>
      <c r="J138" s="216">
        <f t="shared" ref="J138:J147" si="58">J111</f>
        <v>4654.3599999999997</v>
      </c>
      <c r="K138" s="192"/>
      <c r="L138" s="178"/>
      <c r="M138" s="178"/>
      <c r="N138" s="178"/>
      <c r="O138" s="179"/>
      <c r="P138" s="179"/>
      <c r="Q138" s="216">
        <f t="shared" si="57"/>
        <v>13.4</v>
      </c>
      <c r="R138" s="206"/>
      <c r="S138" s="228"/>
    </row>
    <row r="139" spans="1:19" x14ac:dyDescent="0.25">
      <c r="A139" s="166">
        <f>A112</f>
        <v>42024</v>
      </c>
      <c r="B139" s="198">
        <f t="shared" ref="B139:B147" si="59">B112</f>
        <v>500.07</v>
      </c>
      <c r="C139" s="205"/>
      <c r="D139" s="216">
        <f t="shared" ref="D139:F147" si="60">D112</f>
        <v>37.93</v>
      </c>
      <c r="E139" s="205"/>
      <c r="F139" s="216">
        <f t="shared" si="60"/>
        <v>16</v>
      </c>
      <c r="G139" s="206"/>
      <c r="H139" s="198">
        <f t="shared" si="56"/>
        <v>538</v>
      </c>
      <c r="I139" s="206"/>
      <c r="J139" s="216">
        <f t="shared" si="58"/>
        <v>4154.29</v>
      </c>
      <c r="K139" s="192"/>
      <c r="L139" s="178"/>
      <c r="M139" s="178"/>
      <c r="N139" s="178"/>
      <c r="O139" s="179"/>
      <c r="P139" s="179"/>
      <c r="Q139" s="216">
        <f t="shared" si="57"/>
        <v>11.96</v>
      </c>
      <c r="R139" s="206"/>
      <c r="S139" s="228"/>
    </row>
    <row r="140" spans="1:19" s="15" customFormat="1" x14ac:dyDescent="0.25">
      <c r="A140" s="160">
        <f t="shared" ref="A140:A144" si="61">EDATE(A139,1)</f>
        <v>42055</v>
      </c>
      <c r="B140" s="198">
        <f t="shared" si="59"/>
        <v>504.15</v>
      </c>
      <c r="C140" s="205"/>
      <c r="D140" s="216">
        <f t="shared" si="60"/>
        <v>33.85</v>
      </c>
      <c r="E140" s="205"/>
      <c r="F140" s="216">
        <f t="shared" si="60"/>
        <v>16</v>
      </c>
      <c r="G140" s="206"/>
      <c r="H140" s="198">
        <f t="shared" si="56"/>
        <v>538</v>
      </c>
      <c r="I140" s="206"/>
      <c r="J140" s="216">
        <f t="shared" si="58"/>
        <v>3650.1400000000003</v>
      </c>
      <c r="K140" s="175"/>
      <c r="L140" s="178"/>
      <c r="M140" s="178"/>
      <c r="N140" s="178"/>
      <c r="O140" s="179"/>
      <c r="P140" s="179"/>
      <c r="Q140" s="216">
        <f t="shared" si="57"/>
        <v>7.65</v>
      </c>
      <c r="R140" s="206"/>
      <c r="S140" s="228"/>
    </row>
    <row r="141" spans="1:19" s="15" customFormat="1" x14ac:dyDescent="0.25">
      <c r="A141" s="160">
        <f t="shared" si="61"/>
        <v>42083</v>
      </c>
      <c r="B141" s="198">
        <f t="shared" si="59"/>
        <v>511.15</v>
      </c>
      <c r="C141" s="205"/>
      <c r="D141" s="216">
        <f t="shared" si="60"/>
        <v>26.85</v>
      </c>
      <c r="E141" s="205"/>
      <c r="F141" s="216">
        <f t="shared" si="60"/>
        <v>16</v>
      </c>
      <c r="G141" s="206"/>
      <c r="H141" s="198">
        <f t="shared" si="56"/>
        <v>538</v>
      </c>
      <c r="I141" s="206"/>
      <c r="J141" s="216">
        <f t="shared" si="58"/>
        <v>3138.9900000000002</v>
      </c>
      <c r="K141" s="175"/>
      <c r="L141" s="178"/>
      <c r="M141" s="178"/>
      <c r="N141" s="178"/>
      <c r="O141" s="179"/>
      <c r="P141" s="179"/>
      <c r="Q141" s="216">
        <f t="shared" si="57"/>
        <v>9.0399999999999991</v>
      </c>
      <c r="R141" s="206"/>
      <c r="S141" s="228"/>
    </row>
    <row r="142" spans="1:19" s="15" customFormat="1" x14ac:dyDescent="0.25">
      <c r="A142" s="160">
        <f t="shared" si="61"/>
        <v>42114</v>
      </c>
      <c r="B142" s="198">
        <f t="shared" si="59"/>
        <v>512.41999999999996</v>
      </c>
      <c r="C142" s="205"/>
      <c r="D142" s="216">
        <f t="shared" si="60"/>
        <v>25.58</v>
      </c>
      <c r="E142" s="205"/>
      <c r="F142" s="216">
        <f t="shared" si="60"/>
        <v>16</v>
      </c>
      <c r="G142" s="206"/>
      <c r="H142" s="198">
        <f t="shared" si="56"/>
        <v>538</v>
      </c>
      <c r="I142" s="206"/>
      <c r="J142" s="216">
        <f t="shared" si="58"/>
        <v>2626.57</v>
      </c>
      <c r="K142" s="175"/>
      <c r="L142" s="178"/>
      <c r="M142" s="178"/>
      <c r="N142" s="178"/>
      <c r="O142" s="179"/>
      <c r="P142" s="179"/>
      <c r="Q142" s="216">
        <f t="shared" si="57"/>
        <v>6.88</v>
      </c>
      <c r="R142" s="206"/>
      <c r="S142" s="228"/>
    </row>
    <row r="143" spans="1:19" s="15" customFormat="1" x14ac:dyDescent="0.25">
      <c r="A143" s="160">
        <f t="shared" si="61"/>
        <v>42144</v>
      </c>
      <c r="B143" s="198">
        <f t="shared" si="59"/>
        <v>517.29</v>
      </c>
      <c r="C143" s="205"/>
      <c r="D143" s="216">
        <f t="shared" si="60"/>
        <v>20.71</v>
      </c>
      <c r="E143" s="205"/>
      <c r="F143" s="216">
        <f t="shared" si="60"/>
        <v>16</v>
      </c>
      <c r="G143" s="206"/>
      <c r="H143" s="198">
        <f t="shared" si="56"/>
        <v>538</v>
      </c>
      <c r="I143" s="206"/>
      <c r="J143" s="216">
        <f t="shared" si="58"/>
        <v>2109.2800000000002</v>
      </c>
      <c r="K143" s="175"/>
      <c r="L143" s="178"/>
      <c r="M143" s="178"/>
      <c r="N143" s="178"/>
      <c r="O143" s="179"/>
      <c r="P143" s="179"/>
      <c r="Q143" s="216">
        <f t="shared" si="57"/>
        <v>6.07</v>
      </c>
      <c r="R143" s="206"/>
      <c r="S143" s="228"/>
    </row>
    <row r="144" spans="1:19" s="15" customFormat="1" x14ac:dyDescent="0.25">
      <c r="A144" s="160">
        <f t="shared" si="61"/>
        <v>42175</v>
      </c>
      <c r="B144" s="198">
        <f t="shared" si="59"/>
        <v>520.80999999999995</v>
      </c>
      <c r="C144" s="205"/>
      <c r="D144" s="216">
        <f t="shared" si="60"/>
        <v>17.190000000000001</v>
      </c>
      <c r="E144" s="205"/>
      <c r="F144" s="216">
        <f t="shared" si="60"/>
        <v>16</v>
      </c>
      <c r="G144" s="206"/>
      <c r="H144" s="198">
        <f t="shared" si="56"/>
        <v>538</v>
      </c>
      <c r="I144" s="206"/>
      <c r="J144" s="216">
        <f t="shared" si="58"/>
        <v>1588.4700000000003</v>
      </c>
      <c r="K144" s="175"/>
      <c r="L144" s="178"/>
      <c r="M144" s="178"/>
      <c r="N144" s="178"/>
      <c r="O144" s="179"/>
      <c r="P144" s="179"/>
      <c r="Q144" s="216">
        <f t="shared" si="57"/>
        <v>4.16</v>
      </c>
      <c r="R144" s="206"/>
      <c r="S144" s="228"/>
    </row>
    <row r="145" spans="1:19" x14ac:dyDescent="0.25">
      <c r="A145" s="166">
        <f>A118</f>
        <v>42205</v>
      </c>
      <c r="B145" s="198">
        <f t="shared" si="59"/>
        <v>525.48</v>
      </c>
      <c r="C145" s="205"/>
      <c r="D145" s="216">
        <f t="shared" si="60"/>
        <v>12.52</v>
      </c>
      <c r="E145" s="205"/>
      <c r="F145" s="216">
        <f t="shared" si="60"/>
        <v>16</v>
      </c>
      <c r="G145" s="206"/>
      <c r="H145" s="198">
        <f t="shared" si="56"/>
        <v>538</v>
      </c>
      <c r="I145" s="206"/>
      <c r="J145" s="216">
        <f t="shared" si="58"/>
        <v>1062.99</v>
      </c>
      <c r="K145" s="192"/>
      <c r="L145" s="178"/>
      <c r="M145" s="178"/>
      <c r="N145" s="178"/>
      <c r="O145" s="179"/>
      <c r="P145" s="179"/>
      <c r="Q145" s="216">
        <f t="shared" si="57"/>
        <v>3.06</v>
      </c>
      <c r="R145" s="206"/>
      <c r="S145" s="228"/>
    </row>
    <row r="146" spans="1:19" x14ac:dyDescent="0.25">
      <c r="A146" s="166">
        <f>A119</f>
        <v>42236</v>
      </c>
      <c r="B146" s="198">
        <f t="shared" si="59"/>
        <v>529.34</v>
      </c>
      <c r="C146" s="205"/>
      <c r="D146" s="216">
        <f t="shared" si="60"/>
        <v>8.66</v>
      </c>
      <c r="E146" s="205"/>
      <c r="F146" s="216">
        <f t="shared" si="60"/>
        <v>16</v>
      </c>
      <c r="G146" s="206"/>
      <c r="H146" s="198">
        <f t="shared" si="56"/>
        <v>538</v>
      </c>
      <c r="I146" s="206"/>
      <c r="J146" s="216">
        <f t="shared" si="58"/>
        <v>533.65</v>
      </c>
      <c r="K146" s="192"/>
      <c r="L146" s="178"/>
      <c r="M146" s="178"/>
      <c r="N146" s="178"/>
      <c r="O146" s="179"/>
      <c r="P146" s="179"/>
      <c r="Q146" s="216">
        <f t="shared" si="57"/>
        <v>1.54</v>
      </c>
      <c r="R146" s="206"/>
      <c r="S146" s="228"/>
    </row>
    <row r="147" spans="1:19" ht="15.75" thickBot="1" x14ac:dyDescent="0.3">
      <c r="A147" s="166">
        <f>A120</f>
        <v>42267</v>
      </c>
      <c r="B147" s="198">
        <f t="shared" si="59"/>
        <v>533.65</v>
      </c>
      <c r="C147" s="205"/>
      <c r="D147" s="216">
        <f t="shared" si="60"/>
        <v>4.3499999999999996</v>
      </c>
      <c r="E147" s="205"/>
      <c r="F147" s="216">
        <f t="shared" si="60"/>
        <v>16</v>
      </c>
      <c r="G147" s="206"/>
      <c r="H147" s="198">
        <f t="shared" si="56"/>
        <v>538</v>
      </c>
      <c r="I147" s="206"/>
      <c r="J147" s="216">
        <f t="shared" si="58"/>
        <v>0</v>
      </c>
      <c r="K147" s="192"/>
      <c r="L147" s="178"/>
      <c r="M147" s="178"/>
      <c r="N147" s="178"/>
      <c r="O147" s="179"/>
      <c r="P147" s="179"/>
      <c r="Q147" s="216">
        <f t="shared" si="57"/>
        <v>0</v>
      </c>
      <c r="R147" s="206"/>
      <c r="S147" s="228"/>
    </row>
    <row r="148" spans="1:19" ht="15.75" thickBot="1" x14ac:dyDescent="0.3">
      <c r="A148" s="164"/>
      <c r="B148" s="207">
        <f>SUM(B123:B147)</f>
        <v>8990.9999999999982</v>
      </c>
      <c r="C148" s="208"/>
      <c r="D148" s="207">
        <f>SUM(D123:D147)</f>
        <v>693.00000000000023</v>
      </c>
      <c r="E148" s="208"/>
      <c r="F148" s="207">
        <f>SUM(F123:F147)</f>
        <v>288</v>
      </c>
      <c r="G148" s="209"/>
      <c r="H148" s="207">
        <f>SUM(H123:H147)</f>
        <v>9684</v>
      </c>
      <c r="I148" s="209"/>
      <c r="J148" s="207">
        <f>SUM(J123:J147)</f>
        <v>87297.09</v>
      </c>
      <c r="K148" s="209"/>
      <c r="L148" s="180"/>
      <c r="M148" s="180"/>
      <c r="N148" s="181">
        <f>SUM(N124:N135)</f>
        <v>7.0000000000050022E-2</v>
      </c>
      <c r="O148" s="182"/>
      <c r="P148" s="182"/>
      <c r="Q148" s="207">
        <f>SUM(Q123:Q147)</f>
        <v>233.22</v>
      </c>
      <c r="R148" s="210"/>
      <c r="S148" s="227"/>
    </row>
    <row r="149" spans="1:19" ht="15.75" thickBot="1" x14ac:dyDescent="0.3">
      <c r="A149" s="219"/>
      <c r="B149" s="199"/>
      <c r="C149" s="183"/>
      <c r="D149" s="199"/>
      <c r="E149" s="183"/>
      <c r="F149" s="199"/>
      <c r="G149" s="272"/>
      <c r="H149" s="199"/>
      <c r="I149" s="184"/>
      <c r="J149" s="199"/>
      <c r="K149" s="184"/>
      <c r="L149" s="184"/>
      <c r="M149" s="184"/>
      <c r="N149" s="184"/>
      <c r="O149" s="184"/>
      <c r="P149" s="184"/>
      <c r="Q149" s="199"/>
      <c r="R149" s="184"/>
      <c r="S149" s="230"/>
    </row>
    <row r="150" spans="1:19" x14ac:dyDescent="0.25">
      <c r="A150" s="161">
        <f>A123</f>
        <v>41721</v>
      </c>
      <c r="B150" s="197">
        <f>B123</f>
        <v>0</v>
      </c>
      <c r="C150" s="167"/>
      <c r="D150" s="197">
        <f t="shared" ref="D150" si="62">D123</f>
        <v>0</v>
      </c>
      <c r="E150" s="167"/>
      <c r="F150" s="197">
        <f t="shared" ref="F150" si="63">F123</f>
        <v>0</v>
      </c>
      <c r="G150" s="168"/>
      <c r="H150" s="197">
        <f>B150+D150</f>
        <v>0</v>
      </c>
      <c r="I150" s="168">
        <f>I123</f>
        <v>0</v>
      </c>
      <c r="J150" s="197">
        <f>J123</f>
        <v>8990.9999999999982</v>
      </c>
      <c r="K150" s="168"/>
      <c r="L150" s="169"/>
      <c r="M150" s="169"/>
      <c r="N150" s="169"/>
      <c r="O150" s="170"/>
      <c r="P150" s="170"/>
      <c r="Q150" s="197">
        <f>Q123</f>
        <v>18.829999999999998</v>
      </c>
      <c r="R150" s="168"/>
      <c r="S150" s="231">
        <f t="shared" ref="S150:S161" si="64">S123</f>
        <v>27.434000000000001</v>
      </c>
    </row>
    <row r="151" spans="1:19" x14ac:dyDescent="0.25">
      <c r="A151" s="165">
        <f t="shared" ref="A151:A160" si="65">A124</f>
        <v>41729</v>
      </c>
      <c r="B151" s="211"/>
      <c r="C151" s="212">
        <f>C124</f>
        <v>0</v>
      </c>
      <c r="D151" s="211"/>
      <c r="E151" s="212">
        <f>E124</f>
        <v>0</v>
      </c>
      <c r="F151" s="211"/>
      <c r="G151" s="185">
        <f>G124</f>
        <v>0</v>
      </c>
      <c r="H151" s="211"/>
      <c r="I151" s="185"/>
      <c r="J151" s="211"/>
      <c r="K151" s="185">
        <f>K124</f>
        <v>327.79</v>
      </c>
      <c r="L151" s="186">
        <f>L124</f>
        <v>327.73</v>
      </c>
      <c r="M151" s="186">
        <f t="shared" ref="M151:N151" si="66">M124</f>
        <v>8990.9999999999982</v>
      </c>
      <c r="N151" s="186">
        <f t="shared" si="66"/>
        <v>-6.0000000000002274E-2</v>
      </c>
      <c r="O151" s="187">
        <f>O124</f>
        <v>308.27999999999997</v>
      </c>
      <c r="P151" s="187">
        <f t="shared" ref="P151" si="67">P124</f>
        <v>8457.3499999999985</v>
      </c>
      <c r="Q151" s="211"/>
      <c r="R151" s="185">
        <f>R124</f>
        <v>0</v>
      </c>
      <c r="S151" s="231">
        <f t="shared" si="64"/>
        <v>27.434000000000001</v>
      </c>
    </row>
    <row r="152" spans="1:19" x14ac:dyDescent="0.25">
      <c r="A152" s="162">
        <f t="shared" si="65"/>
        <v>41749</v>
      </c>
      <c r="B152" s="198">
        <f>B125</f>
        <v>471.85</v>
      </c>
      <c r="C152" s="214"/>
      <c r="D152" s="198">
        <f>D125</f>
        <v>66.150000000000006</v>
      </c>
      <c r="E152" s="214"/>
      <c r="F152" s="198">
        <f>F125</f>
        <v>16</v>
      </c>
      <c r="G152" s="188"/>
      <c r="H152" s="198">
        <f>B152+D152</f>
        <v>538</v>
      </c>
      <c r="I152" s="188">
        <f>I125</f>
        <v>20.190000000000001</v>
      </c>
      <c r="J152" s="198">
        <f>J125</f>
        <v>8519.1499999999978</v>
      </c>
      <c r="K152" s="224"/>
      <c r="L152" s="225"/>
      <c r="M152" s="225"/>
      <c r="N152" s="225"/>
      <c r="O152" s="226"/>
      <c r="P152" s="226"/>
      <c r="Q152" s="198">
        <f>Q125</f>
        <v>22.31</v>
      </c>
      <c r="R152" s="224"/>
      <c r="S152" s="231">
        <f t="shared" si="64"/>
        <v>27.443999999999999</v>
      </c>
    </row>
    <row r="153" spans="1:19" x14ac:dyDescent="0.25">
      <c r="A153" s="165">
        <f t="shared" si="65"/>
        <v>41759</v>
      </c>
      <c r="B153" s="217"/>
      <c r="C153" s="212">
        <f>C126</f>
        <v>17.2</v>
      </c>
      <c r="D153" s="217"/>
      <c r="E153" s="212">
        <f>E126</f>
        <v>2.41</v>
      </c>
      <c r="F153" s="217"/>
      <c r="G153" s="185">
        <f>G126</f>
        <v>0.57999999999999996</v>
      </c>
      <c r="H153" s="217"/>
      <c r="I153" s="218"/>
      <c r="J153" s="211"/>
      <c r="K153" s="185">
        <f>K126</f>
        <v>310.52999999999997</v>
      </c>
      <c r="L153" s="186">
        <f>L126</f>
        <v>310.08</v>
      </c>
      <c r="M153" s="186">
        <f t="shared" ref="M153:N153" si="68">M126</f>
        <v>8519.1499999999978</v>
      </c>
      <c r="N153" s="186">
        <f t="shared" si="68"/>
        <v>-0.44999999999998863</v>
      </c>
      <c r="O153" s="187">
        <f>O126</f>
        <v>310.08</v>
      </c>
      <c r="P153" s="187">
        <f t="shared" ref="P153" si="69">P126</f>
        <v>8519.1499999999978</v>
      </c>
      <c r="Q153" s="211"/>
      <c r="R153" s="185">
        <f>R126</f>
        <v>0.81</v>
      </c>
      <c r="S153" s="231">
        <f t="shared" si="64"/>
        <v>27.474</v>
      </c>
    </row>
    <row r="154" spans="1:19" s="37" customFormat="1" x14ac:dyDescent="0.25">
      <c r="A154" s="162">
        <f t="shared" si="65"/>
        <v>41779</v>
      </c>
      <c r="B154" s="198">
        <f>B127</f>
        <v>470.83</v>
      </c>
      <c r="C154" s="214"/>
      <c r="D154" s="198">
        <f>D127</f>
        <v>67.17</v>
      </c>
      <c r="E154" s="214"/>
      <c r="F154" s="198">
        <f>F127</f>
        <v>16</v>
      </c>
      <c r="G154" s="188"/>
      <c r="H154" s="198">
        <f>B154+D154</f>
        <v>538</v>
      </c>
      <c r="I154" s="188">
        <f>I127</f>
        <v>20.170000000000002</v>
      </c>
      <c r="J154" s="198">
        <f>J127</f>
        <v>8048.32</v>
      </c>
      <c r="K154" s="224"/>
      <c r="L154" s="225"/>
      <c r="M154" s="225"/>
      <c r="N154" s="225"/>
      <c r="O154" s="226"/>
      <c r="P154" s="226"/>
      <c r="Q154" s="198">
        <f>Q127</f>
        <v>23.18</v>
      </c>
      <c r="R154" s="224"/>
      <c r="S154" s="231">
        <f t="shared" si="64"/>
        <v>27.472000000000001</v>
      </c>
    </row>
    <row r="155" spans="1:19" x14ac:dyDescent="0.25">
      <c r="A155" s="165">
        <f t="shared" si="65"/>
        <v>41790</v>
      </c>
      <c r="B155" s="217"/>
      <c r="C155" s="212">
        <f>C128</f>
        <v>17.14</v>
      </c>
      <c r="D155" s="217"/>
      <c r="E155" s="212">
        <f>E128</f>
        <v>2.4500000000000002</v>
      </c>
      <c r="F155" s="217"/>
      <c r="G155" s="185">
        <f>G128</f>
        <v>0.57999999999999996</v>
      </c>
      <c r="H155" s="217"/>
      <c r="I155" s="218"/>
      <c r="J155" s="211"/>
      <c r="K155" s="185">
        <f>K128</f>
        <v>292.94</v>
      </c>
      <c r="L155" s="186">
        <f>L128</f>
        <v>292.99</v>
      </c>
      <c r="M155" s="186">
        <f t="shared" ref="M155:N155" si="70">M128</f>
        <v>8048.32</v>
      </c>
      <c r="N155" s="186">
        <f t="shared" si="70"/>
        <v>5.0000000000011369E-2</v>
      </c>
      <c r="O155" s="187">
        <f>O128</f>
        <v>292.99</v>
      </c>
      <c r="P155" s="187">
        <f t="shared" ref="P155" si="71">P128</f>
        <v>8048.32</v>
      </c>
      <c r="Q155" s="211"/>
      <c r="R155" s="185">
        <f>R128</f>
        <v>0.84</v>
      </c>
      <c r="S155" s="231">
        <f t="shared" si="64"/>
        <v>27.47</v>
      </c>
    </row>
    <row r="156" spans="1:19" x14ac:dyDescent="0.25">
      <c r="A156" s="162">
        <f t="shared" si="65"/>
        <v>41810</v>
      </c>
      <c r="B156" s="198">
        <f>B129</f>
        <v>472.42</v>
      </c>
      <c r="C156" s="214"/>
      <c r="D156" s="198">
        <f>D129</f>
        <v>65.58</v>
      </c>
      <c r="E156" s="214"/>
      <c r="F156" s="198">
        <f>F129</f>
        <v>16</v>
      </c>
      <c r="G156" s="188"/>
      <c r="H156" s="198">
        <f>B156+D156</f>
        <v>538</v>
      </c>
      <c r="I156" s="188">
        <f>I129</f>
        <v>20.170000000000002</v>
      </c>
      <c r="J156" s="198">
        <f>J129</f>
        <v>7575.9</v>
      </c>
      <c r="K156" s="224"/>
      <c r="L156" s="225"/>
      <c r="M156" s="225"/>
      <c r="N156" s="225"/>
      <c r="O156" s="226"/>
      <c r="P156" s="226"/>
      <c r="Q156" s="198">
        <f>Q129</f>
        <v>19.84</v>
      </c>
      <c r="R156" s="224"/>
      <c r="S156" s="231">
        <f t="shared" si="64"/>
        <v>27.472999999999999</v>
      </c>
    </row>
    <row r="157" spans="1:19" x14ac:dyDescent="0.25">
      <c r="A157" s="165">
        <f t="shared" si="65"/>
        <v>41820</v>
      </c>
      <c r="B157" s="217"/>
      <c r="C157" s="212">
        <f>C130</f>
        <v>17.2</v>
      </c>
      <c r="D157" s="217"/>
      <c r="E157" s="212">
        <f>E130</f>
        <v>2.39</v>
      </c>
      <c r="F157" s="217"/>
      <c r="G157" s="185">
        <f>G130</f>
        <v>0.57999999999999996</v>
      </c>
      <c r="H157" s="217"/>
      <c r="I157" s="218"/>
      <c r="J157" s="211"/>
      <c r="K157" s="185">
        <f>K130</f>
        <v>275.79000000000002</v>
      </c>
      <c r="L157" s="186">
        <f>L130</f>
        <v>275.74</v>
      </c>
      <c r="M157" s="186">
        <f t="shared" ref="M157:N157" si="72">M130</f>
        <v>7575.9</v>
      </c>
      <c r="N157" s="186">
        <f t="shared" si="72"/>
        <v>-5.0000000000011369E-2</v>
      </c>
      <c r="O157" s="187">
        <f>O130</f>
        <v>275.74</v>
      </c>
      <c r="P157" s="187">
        <f t="shared" ref="P157" si="73">P130</f>
        <v>7575.9</v>
      </c>
      <c r="Q157" s="211"/>
      <c r="R157" s="185">
        <f>R130</f>
        <v>0.72</v>
      </c>
      <c r="S157" s="231">
        <f t="shared" si="64"/>
        <v>27.475000000000001</v>
      </c>
    </row>
    <row r="158" spans="1:19" x14ac:dyDescent="0.25">
      <c r="A158" s="162">
        <f t="shared" si="65"/>
        <v>41840</v>
      </c>
      <c r="B158" s="198">
        <f>B131</f>
        <v>478.27</v>
      </c>
      <c r="C158" s="214"/>
      <c r="D158" s="198">
        <f>D131</f>
        <v>59.73</v>
      </c>
      <c r="E158" s="214"/>
      <c r="F158" s="198">
        <f>F131</f>
        <v>16</v>
      </c>
      <c r="G158" s="188"/>
      <c r="H158" s="198">
        <f>B158+D158</f>
        <v>538</v>
      </c>
      <c r="I158" s="188">
        <f>I131</f>
        <v>20.170000000000002</v>
      </c>
      <c r="J158" s="198">
        <f>J131</f>
        <v>7097.6299999999992</v>
      </c>
      <c r="K158" s="224"/>
      <c r="L158" s="225"/>
      <c r="M158" s="225"/>
      <c r="N158" s="225"/>
      <c r="O158" s="226"/>
      <c r="P158" s="226"/>
      <c r="Q158" s="198">
        <f>Q131</f>
        <v>20.440000000000001</v>
      </c>
      <c r="R158" s="224"/>
      <c r="S158" s="231">
        <f t="shared" si="64"/>
        <v>27.472000000000001</v>
      </c>
    </row>
    <row r="159" spans="1:19" s="37" customFormat="1" x14ac:dyDescent="0.25">
      <c r="A159" s="165">
        <f t="shared" si="65"/>
        <v>41851</v>
      </c>
      <c r="B159" s="217"/>
      <c r="C159" s="212">
        <f>C132</f>
        <v>17.41</v>
      </c>
      <c r="D159" s="217"/>
      <c r="E159" s="212">
        <f>E132</f>
        <v>2.17</v>
      </c>
      <c r="F159" s="217"/>
      <c r="G159" s="185">
        <f>G132</f>
        <v>0.57999999999999996</v>
      </c>
      <c r="H159" s="217"/>
      <c r="I159" s="218"/>
      <c r="J159" s="211"/>
      <c r="K159" s="185">
        <f>K132</f>
        <v>258.33</v>
      </c>
      <c r="L159" s="186">
        <f>L132</f>
        <v>258.37</v>
      </c>
      <c r="M159" s="186">
        <f t="shared" ref="M159:N159" si="74">M132</f>
        <v>7097.6299999999992</v>
      </c>
      <c r="N159" s="186">
        <f t="shared" si="74"/>
        <v>4.0000000000020464E-2</v>
      </c>
      <c r="O159" s="187">
        <f>O132</f>
        <v>258.37</v>
      </c>
      <c r="P159" s="187">
        <f t="shared" ref="P159" si="75">P132</f>
        <v>7097.6299999999992</v>
      </c>
      <c r="Q159" s="211"/>
      <c r="R159" s="185">
        <f>R132</f>
        <v>0.74</v>
      </c>
      <c r="S159" s="231">
        <f t="shared" si="64"/>
        <v>27.471</v>
      </c>
    </row>
    <row r="160" spans="1:19" x14ac:dyDescent="0.25">
      <c r="A160" s="162">
        <f t="shared" si="65"/>
        <v>41871</v>
      </c>
      <c r="B160" s="198">
        <f>B133</f>
        <v>480.16</v>
      </c>
      <c r="C160" s="214"/>
      <c r="D160" s="198">
        <f>D133</f>
        <v>57.84</v>
      </c>
      <c r="E160" s="214"/>
      <c r="F160" s="198">
        <f>F133</f>
        <v>16</v>
      </c>
      <c r="G160" s="188"/>
      <c r="H160" s="198">
        <f>B160+D160</f>
        <v>538</v>
      </c>
      <c r="I160" s="188">
        <f>I133</f>
        <v>20.18</v>
      </c>
      <c r="J160" s="198">
        <f>J133</f>
        <v>6617.4699999999993</v>
      </c>
      <c r="K160" s="224"/>
      <c r="L160" s="225"/>
      <c r="M160" s="225"/>
      <c r="N160" s="225"/>
      <c r="O160" s="226"/>
      <c r="P160" s="226"/>
      <c r="Q160" s="198">
        <f>Q133</f>
        <v>19.059999999999999</v>
      </c>
      <c r="R160" s="224"/>
      <c r="S160" s="231">
        <f t="shared" si="64"/>
        <v>27.456</v>
      </c>
    </row>
    <row r="161" spans="1:19" x14ac:dyDescent="0.25">
      <c r="A161" s="165">
        <f>EOMONTH(A160,0)</f>
        <v>41882</v>
      </c>
      <c r="B161" s="217"/>
      <c r="C161" s="212">
        <f>C134</f>
        <v>17.48</v>
      </c>
      <c r="D161" s="217"/>
      <c r="E161" s="212">
        <f>E134</f>
        <v>2.11</v>
      </c>
      <c r="F161" s="217"/>
      <c r="G161" s="185">
        <f>G134</f>
        <v>0.57999999999999996</v>
      </c>
      <c r="H161" s="217"/>
      <c r="I161" s="218"/>
      <c r="J161" s="211"/>
      <c r="K161" s="185">
        <f>K134</f>
        <v>240.89</v>
      </c>
      <c r="L161" s="186">
        <f>L134</f>
        <v>241.43</v>
      </c>
      <c r="M161" s="186">
        <f t="shared" ref="M161:N161" si="76">M134</f>
        <v>6617.4699999999993</v>
      </c>
      <c r="N161" s="186">
        <f t="shared" si="76"/>
        <v>0.54000000000002046</v>
      </c>
      <c r="O161" s="187">
        <f>O134</f>
        <v>241.43</v>
      </c>
      <c r="P161" s="187">
        <f t="shared" ref="P161" si="77">P134</f>
        <v>6617.4699999999993</v>
      </c>
      <c r="Q161" s="211"/>
      <c r="R161" s="185">
        <f>R134</f>
        <v>0.7</v>
      </c>
      <c r="S161" s="231">
        <f t="shared" si="64"/>
        <v>27.41</v>
      </c>
    </row>
    <row r="162" spans="1:19" x14ac:dyDescent="0.25">
      <c r="A162" s="166">
        <f>A135</f>
        <v>41902</v>
      </c>
      <c r="B162" s="198">
        <f>B135</f>
        <v>484.08</v>
      </c>
      <c r="C162" s="214"/>
      <c r="D162" s="198">
        <f>D135</f>
        <v>53.92</v>
      </c>
      <c r="E162" s="214"/>
      <c r="F162" s="198">
        <f>F135</f>
        <v>16</v>
      </c>
      <c r="G162" s="188"/>
      <c r="H162" s="198">
        <f>B162+D162</f>
        <v>538</v>
      </c>
      <c r="I162" s="188">
        <f>ROUND((B162+D162+F162)/S162,2)</f>
        <v>20.18</v>
      </c>
      <c r="J162" s="203">
        <f>J135</f>
        <v>6133.3899999999994</v>
      </c>
      <c r="K162" s="175"/>
      <c r="L162" s="178"/>
      <c r="M162" s="178"/>
      <c r="N162" s="178"/>
      <c r="O162" s="179"/>
      <c r="P162" s="179"/>
      <c r="Q162" s="198">
        <f>Q135</f>
        <v>16.059999999999999</v>
      </c>
      <c r="R162" s="188"/>
      <c r="S162" s="228">
        <v>27.456</v>
      </c>
    </row>
    <row r="163" spans="1:19" ht="15.75" thickBot="1" x14ac:dyDescent="0.3">
      <c r="A163" s="163">
        <f>EOMONTH(A162,0)</f>
        <v>41912</v>
      </c>
      <c r="B163" s="215"/>
      <c r="C163" s="201">
        <f>ROUND(B162/S161,2)</f>
        <v>17.66</v>
      </c>
      <c r="D163" s="215"/>
      <c r="E163" s="201">
        <f>ROUND(D162/S163,2)</f>
        <v>1.97</v>
      </c>
      <c r="F163" s="215"/>
      <c r="G163" s="279">
        <f>ROUND(F162/S163,2)</f>
        <v>0.57999999999999996</v>
      </c>
      <c r="H163" s="215"/>
      <c r="I163" s="191"/>
      <c r="J163" s="215"/>
      <c r="K163" s="191">
        <f>ROUND(SUM(B164:B175)/S161,2)</f>
        <v>223.76</v>
      </c>
      <c r="L163" s="173">
        <f>ROUND(SUM(B164:B175)/S163,2)</f>
        <v>223.85</v>
      </c>
      <c r="M163" s="173">
        <f>J162</f>
        <v>6133.3899999999994</v>
      </c>
      <c r="N163" s="173">
        <f>L163-K163</f>
        <v>9.0000000000003411E-2</v>
      </c>
      <c r="O163" s="174">
        <f>ROUND(P163/S163,2)</f>
        <v>223.85</v>
      </c>
      <c r="P163" s="174">
        <f>SUM(B164:B175)</f>
        <v>6133.3899999999994</v>
      </c>
      <c r="Q163" s="215"/>
      <c r="R163" s="191">
        <f>ROUND(Q162/S163,2)</f>
        <v>0.59</v>
      </c>
      <c r="S163" s="229">
        <v>27.4</v>
      </c>
    </row>
    <row r="164" spans="1:19" ht="15.75" thickTop="1" x14ac:dyDescent="0.25">
      <c r="A164" s="166">
        <f t="shared" ref="A164:B167" si="78">A136</f>
        <v>41932</v>
      </c>
      <c r="B164" s="216">
        <f t="shared" si="78"/>
        <v>489.64</v>
      </c>
      <c r="C164" s="205"/>
      <c r="D164" s="198">
        <f>D136</f>
        <v>48.36</v>
      </c>
      <c r="E164" s="205"/>
      <c r="F164" s="198">
        <f>F136</f>
        <v>16</v>
      </c>
      <c r="G164" s="206"/>
      <c r="H164" s="198">
        <f t="shared" ref="H164:H175" si="79">B164+D164</f>
        <v>538</v>
      </c>
      <c r="I164" s="206"/>
      <c r="J164" s="216">
        <f>J136</f>
        <v>5643.75</v>
      </c>
      <c r="K164" s="192"/>
      <c r="L164" s="178"/>
      <c r="M164" s="178"/>
      <c r="N164" s="178"/>
      <c r="O164" s="179"/>
      <c r="P164" s="179"/>
      <c r="Q164" s="216">
        <f>Q136</f>
        <v>16.25</v>
      </c>
      <c r="R164" s="206"/>
      <c r="S164" s="228"/>
    </row>
    <row r="165" spans="1:19" x14ac:dyDescent="0.25">
      <c r="A165" s="166">
        <f t="shared" si="78"/>
        <v>41963</v>
      </c>
      <c r="B165" s="216">
        <f t="shared" si="78"/>
        <v>492.01</v>
      </c>
      <c r="C165" s="205"/>
      <c r="D165" s="198">
        <f>D137</f>
        <v>45.99</v>
      </c>
      <c r="E165" s="205"/>
      <c r="F165" s="198">
        <f>F137</f>
        <v>16</v>
      </c>
      <c r="G165" s="206"/>
      <c r="H165" s="198">
        <f t="shared" si="79"/>
        <v>538</v>
      </c>
      <c r="I165" s="206"/>
      <c r="J165" s="216">
        <f>J137</f>
        <v>5151.74</v>
      </c>
      <c r="K165" s="192"/>
      <c r="L165" s="178"/>
      <c r="M165" s="178"/>
      <c r="N165" s="178"/>
      <c r="O165" s="179"/>
      <c r="P165" s="179"/>
      <c r="Q165" s="216">
        <f>Q137</f>
        <v>13.49</v>
      </c>
      <c r="R165" s="206"/>
      <c r="S165" s="228"/>
    </row>
    <row r="166" spans="1:19" x14ac:dyDescent="0.25">
      <c r="A166" s="166">
        <f t="shared" si="78"/>
        <v>41993</v>
      </c>
      <c r="B166" s="216">
        <f t="shared" si="78"/>
        <v>497.38</v>
      </c>
      <c r="C166" s="205"/>
      <c r="D166" s="198">
        <f>D138</f>
        <v>40.619999999999997</v>
      </c>
      <c r="E166" s="205"/>
      <c r="F166" s="198">
        <f>F138</f>
        <v>16</v>
      </c>
      <c r="G166" s="206"/>
      <c r="H166" s="198">
        <f t="shared" si="79"/>
        <v>538</v>
      </c>
      <c r="I166" s="206"/>
      <c r="J166" s="216">
        <f>J138</f>
        <v>4654.3599999999997</v>
      </c>
      <c r="K166" s="192"/>
      <c r="L166" s="178"/>
      <c r="M166" s="178"/>
      <c r="N166" s="178"/>
      <c r="O166" s="179"/>
      <c r="P166" s="179"/>
      <c r="Q166" s="216">
        <f>Q138</f>
        <v>13.4</v>
      </c>
      <c r="R166" s="206"/>
      <c r="S166" s="228"/>
    </row>
    <row r="167" spans="1:19" x14ac:dyDescent="0.25">
      <c r="A167" s="166">
        <f t="shared" si="78"/>
        <v>42024</v>
      </c>
      <c r="B167" s="216">
        <f t="shared" si="78"/>
        <v>500.07</v>
      </c>
      <c r="C167" s="205"/>
      <c r="D167" s="198">
        <f>D139</f>
        <v>37.93</v>
      </c>
      <c r="E167" s="205"/>
      <c r="F167" s="198">
        <f>F139</f>
        <v>16</v>
      </c>
      <c r="G167" s="206"/>
      <c r="H167" s="198">
        <f t="shared" si="79"/>
        <v>538</v>
      </c>
      <c r="I167" s="206"/>
      <c r="J167" s="216">
        <f t="shared" ref="J167:J175" si="80">J139</f>
        <v>4154.29</v>
      </c>
      <c r="K167" s="192"/>
      <c r="L167" s="178"/>
      <c r="M167" s="178"/>
      <c r="N167" s="178"/>
      <c r="O167" s="179"/>
      <c r="P167" s="179"/>
      <c r="Q167" s="216">
        <f>Q139</f>
        <v>11.96</v>
      </c>
      <c r="R167" s="206"/>
      <c r="S167" s="228"/>
    </row>
    <row r="168" spans="1:19" s="15" customFormat="1" x14ac:dyDescent="0.25">
      <c r="A168" s="160">
        <f t="shared" ref="A168:A172" si="81">EDATE(A167,1)</f>
        <v>42055</v>
      </c>
      <c r="B168" s="216">
        <f t="shared" ref="B168:B175" si="82">B140</f>
        <v>504.15</v>
      </c>
      <c r="C168" s="205"/>
      <c r="D168" s="198">
        <f t="shared" ref="D168:F175" si="83">D140</f>
        <v>33.85</v>
      </c>
      <c r="E168" s="205"/>
      <c r="F168" s="198">
        <f t="shared" si="83"/>
        <v>16</v>
      </c>
      <c r="G168" s="206"/>
      <c r="H168" s="198">
        <f t="shared" si="79"/>
        <v>538</v>
      </c>
      <c r="I168" s="206"/>
      <c r="J168" s="216">
        <f t="shared" si="80"/>
        <v>3650.1400000000003</v>
      </c>
      <c r="K168" s="175"/>
      <c r="L168" s="178"/>
      <c r="M168" s="178"/>
      <c r="N168" s="178"/>
      <c r="O168" s="179"/>
      <c r="P168" s="179"/>
      <c r="Q168" s="216">
        <f t="shared" ref="Q168:Q175" si="84">Q140</f>
        <v>7.65</v>
      </c>
      <c r="R168" s="206"/>
      <c r="S168" s="228"/>
    </row>
    <row r="169" spans="1:19" s="15" customFormat="1" x14ac:dyDescent="0.25">
      <c r="A169" s="160">
        <f t="shared" si="81"/>
        <v>42083</v>
      </c>
      <c r="B169" s="216">
        <f t="shared" si="82"/>
        <v>511.15</v>
      </c>
      <c r="C169" s="205"/>
      <c r="D169" s="198">
        <f t="shared" si="83"/>
        <v>26.85</v>
      </c>
      <c r="E169" s="205"/>
      <c r="F169" s="198">
        <f t="shared" si="83"/>
        <v>16</v>
      </c>
      <c r="G169" s="206"/>
      <c r="H169" s="198">
        <f t="shared" si="79"/>
        <v>538</v>
      </c>
      <c r="I169" s="206"/>
      <c r="J169" s="216">
        <f t="shared" si="80"/>
        <v>3138.9900000000002</v>
      </c>
      <c r="K169" s="175"/>
      <c r="L169" s="178"/>
      <c r="M169" s="178"/>
      <c r="N169" s="178"/>
      <c r="O169" s="179"/>
      <c r="P169" s="179"/>
      <c r="Q169" s="216">
        <f t="shared" si="84"/>
        <v>9.0399999999999991</v>
      </c>
      <c r="R169" s="206"/>
      <c r="S169" s="228"/>
    </row>
    <row r="170" spans="1:19" s="15" customFormat="1" x14ac:dyDescent="0.25">
      <c r="A170" s="160">
        <f t="shared" si="81"/>
        <v>42114</v>
      </c>
      <c r="B170" s="216">
        <f t="shared" si="82"/>
        <v>512.41999999999996</v>
      </c>
      <c r="C170" s="205"/>
      <c r="D170" s="198">
        <f t="shared" si="83"/>
        <v>25.58</v>
      </c>
      <c r="E170" s="205"/>
      <c r="F170" s="198">
        <f t="shared" si="83"/>
        <v>16</v>
      </c>
      <c r="G170" s="206"/>
      <c r="H170" s="198">
        <f t="shared" si="79"/>
        <v>538</v>
      </c>
      <c r="I170" s="206"/>
      <c r="J170" s="216">
        <f t="shared" si="80"/>
        <v>2626.57</v>
      </c>
      <c r="K170" s="175"/>
      <c r="L170" s="178"/>
      <c r="M170" s="178"/>
      <c r="N170" s="178"/>
      <c r="O170" s="179"/>
      <c r="P170" s="179"/>
      <c r="Q170" s="216">
        <f t="shared" si="84"/>
        <v>6.88</v>
      </c>
      <c r="R170" s="206"/>
      <c r="S170" s="228"/>
    </row>
    <row r="171" spans="1:19" s="15" customFormat="1" x14ac:dyDescent="0.25">
      <c r="A171" s="160">
        <f t="shared" si="81"/>
        <v>42144</v>
      </c>
      <c r="B171" s="216">
        <f t="shared" si="82"/>
        <v>517.29</v>
      </c>
      <c r="C171" s="205"/>
      <c r="D171" s="198">
        <f t="shared" si="83"/>
        <v>20.71</v>
      </c>
      <c r="E171" s="205"/>
      <c r="F171" s="198">
        <f t="shared" si="83"/>
        <v>16</v>
      </c>
      <c r="G171" s="206"/>
      <c r="H171" s="198">
        <f t="shared" si="79"/>
        <v>538</v>
      </c>
      <c r="I171" s="206"/>
      <c r="J171" s="216">
        <f t="shared" si="80"/>
        <v>2109.2800000000002</v>
      </c>
      <c r="K171" s="175"/>
      <c r="L171" s="178"/>
      <c r="M171" s="178"/>
      <c r="N171" s="178"/>
      <c r="O171" s="179"/>
      <c r="P171" s="179"/>
      <c r="Q171" s="216">
        <f t="shared" si="84"/>
        <v>6.07</v>
      </c>
      <c r="R171" s="206"/>
      <c r="S171" s="228"/>
    </row>
    <row r="172" spans="1:19" s="15" customFormat="1" x14ac:dyDescent="0.25">
      <c r="A172" s="160">
        <f t="shared" si="81"/>
        <v>42175</v>
      </c>
      <c r="B172" s="216">
        <f t="shared" si="82"/>
        <v>520.80999999999995</v>
      </c>
      <c r="C172" s="205"/>
      <c r="D172" s="198">
        <f t="shared" si="83"/>
        <v>17.190000000000001</v>
      </c>
      <c r="E172" s="205"/>
      <c r="F172" s="198">
        <f t="shared" si="83"/>
        <v>16</v>
      </c>
      <c r="G172" s="206"/>
      <c r="H172" s="198">
        <f t="shared" si="79"/>
        <v>538</v>
      </c>
      <c r="I172" s="206"/>
      <c r="J172" s="216">
        <f t="shared" si="80"/>
        <v>1588.4700000000003</v>
      </c>
      <c r="K172" s="175"/>
      <c r="L172" s="178"/>
      <c r="M172" s="178"/>
      <c r="N172" s="178"/>
      <c r="O172" s="179"/>
      <c r="P172" s="179"/>
      <c r="Q172" s="216">
        <f t="shared" si="84"/>
        <v>4.16</v>
      </c>
      <c r="R172" s="206"/>
      <c r="S172" s="228"/>
    </row>
    <row r="173" spans="1:19" x14ac:dyDescent="0.25">
      <c r="A173" s="166">
        <f>A145</f>
        <v>42205</v>
      </c>
      <c r="B173" s="216">
        <f t="shared" si="82"/>
        <v>525.48</v>
      </c>
      <c r="C173" s="205"/>
      <c r="D173" s="198">
        <f t="shared" si="83"/>
        <v>12.52</v>
      </c>
      <c r="E173" s="205"/>
      <c r="F173" s="198">
        <f t="shared" si="83"/>
        <v>16</v>
      </c>
      <c r="G173" s="206"/>
      <c r="H173" s="198">
        <f t="shared" si="79"/>
        <v>538</v>
      </c>
      <c r="I173" s="206"/>
      <c r="J173" s="216">
        <f t="shared" si="80"/>
        <v>1062.99</v>
      </c>
      <c r="K173" s="192"/>
      <c r="L173" s="178"/>
      <c r="M173" s="178"/>
      <c r="N173" s="178"/>
      <c r="O173" s="179"/>
      <c r="P173" s="179"/>
      <c r="Q173" s="216">
        <f t="shared" si="84"/>
        <v>3.06</v>
      </c>
      <c r="R173" s="206"/>
      <c r="S173" s="228"/>
    </row>
    <row r="174" spans="1:19" x14ac:dyDescent="0.25">
      <c r="A174" s="166">
        <f>A146</f>
        <v>42236</v>
      </c>
      <c r="B174" s="216">
        <f t="shared" si="82"/>
        <v>529.34</v>
      </c>
      <c r="C174" s="205"/>
      <c r="D174" s="198">
        <f t="shared" si="83"/>
        <v>8.66</v>
      </c>
      <c r="E174" s="205"/>
      <c r="F174" s="198">
        <f t="shared" si="83"/>
        <v>16</v>
      </c>
      <c r="G174" s="206"/>
      <c r="H174" s="198">
        <f t="shared" si="79"/>
        <v>538</v>
      </c>
      <c r="I174" s="206"/>
      <c r="J174" s="216">
        <f t="shared" si="80"/>
        <v>533.65</v>
      </c>
      <c r="K174" s="192"/>
      <c r="L174" s="178"/>
      <c r="M174" s="178"/>
      <c r="N174" s="178"/>
      <c r="O174" s="179"/>
      <c r="P174" s="179"/>
      <c r="Q174" s="216">
        <f t="shared" si="84"/>
        <v>1.54</v>
      </c>
      <c r="R174" s="206"/>
      <c r="S174" s="228"/>
    </row>
    <row r="175" spans="1:19" ht="15.75" thickBot="1" x14ac:dyDescent="0.3">
      <c r="A175" s="166">
        <f>A147</f>
        <v>42267</v>
      </c>
      <c r="B175" s="216">
        <f t="shared" si="82"/>
        <v>533.65</v>
      </c>
      <c r="C175" s="205"/>
      <c r="D175" s="198">
        <f t="shared" si="83"/>
        <v>4.3499999999999996</v>
      </c>
      <c r="E175" s="205"/>
      <c r="F175" s="198">
        <f t="shared" si="83"/>
        <v>16</v>
      </c>
      <c r="G175" s="206"/>
      <c r="H175" s="198">
        <f t="shared" si="79"/>
        <v>538</v>
      </c>
      <c r="I175" s="206"/>
      <c r="J175" s="216">
        <f t="shared" si="80"/>
        <v>0</v>
      </c>
      <c r="K175" s="192"/>
      <c r="L175" s="178"/>
      <c r="M175" s="178"/>
      <c r="N175" s="178"/>
      <c r="O175" s="179"/>
      <c r="P175" s="179"/>
      <c r="Q175" s="216">
        <f t="shared" si="84"/>
        <v>0</v>
      </c>
      <c r="R175" s="206"/>
      <c r="S175" s="228"/>
    </row>
    <row r="176" spans="1:19" ht="15.75" thickBot="1" x14ac:dyDescent="0.3">
      <c r="A176" s="164"/>
      <c r="B176" s="207">
        <f>SUM(B150:B175)</f>
        <v>8990.9999999999982</v>
      </c>
      <c r="C176" s="208"/>
      <c r="D176" s="207">
        <f>SUM(D150:D175)</f>
        <v>693.00000000000023</v>
      </c>
      <c r="E176" s="208"/>
      <c r="F176" s="207">
        <f>SUM(F150:F175)</f>
        <v>288</v>
      </c>
      <c r="G176" s="209"/>
      <c r="H176" s="207">
        <f>SUM(H150:H175)</f>
        <v>9684</v>
      </c>
      <c r="I176" s="209"/>
      <c r="J176" s="207">
        <f>SUM(J150:J175)</f>
        <v>87297.09</v>
      </c>
      <c r="K176" s="209"/>
      <c r="L176" s="180"/>
      <c r="M176" s="180"/>
      <c r="N176" s="181">
        <f>SUM(N151:N162)</f>
        <v>7.0000000000050022E-2</v>
      </c>
      <c r="O176" s="182"/>
      <c r="P176" s="182"/>
      <c r="Q176" s="207">
        <f>SUM(Q150:Q175)</f>
        <v>233.22</v>
      </c>
      <c r="R176" s="210"/>
      <c r="S176" s="227"/>
    </row>
    <row r="177" spans="1:19" ht="15.75" thickBot="1" x14ac:dyDescent="0.3">
      <c r="A177" s="219"/>
      <c r="B177" s="199"/>
      <c r="C177" s="183"/>
      <c r="D177" s="199"/>
      <c r="E177" s="183"/>
      <c r="F177" s="199"/>
      <c r="G177" s="272"/>
      <c r="H177" s="199"/>
      <c r="I177" s="184"/>
      <c r="J177" s="199"/>
      <c r="K177" s="184"/>
      <c r="L177" s="184"/>
      <c r="M177" s="184"/>
      <c r="N177" s="184"/>
      <c r="O177" s="184"/>
      <c r="P177" s="184"/>
      <c r="Q177" s="199"/>
      <c r="R177" s="184"/>
      <c r="S177" s="230"/>
    </row>
    <row r="178" spans="1:19" x14ac:dyDescent="0.25">
      <c r="A178" s="161">
        <f>A150</f>
        <v>41721</v>
      </c>
      <c r="B178" s="197">
        <f>B150</f>
        <v>0</v>
      </c>
      <c r="C178" s="167"/>
      <c r="D178" s="197">
        <f>D150</f>
        <v>0</v>
      </c>
      <c r="E178" s="167"/>
      <c r="F178" s="197">
        <f>F150</f>
        <v>0</v>
      </c>
      <c r="G178" s="168"/>
      <c r="H178" s="197">
        <f>B178+D178</f>
        <v>0</v>
      </c>
      <c r="I178" s="168">
        <f>I152</f>
        <v>20.190000000000001</v>
      </c>
      <c r="J178" s="197">
        <f>J150</f>
        <v>8990.9999999999982</v>
      </c>
      <c r="K178" s="168"/>
      <c r="L178" s="169"/>
      <c r="M178" s="169"/>
      <c r="N178" s="169"/>
      <c r="O178" s="170"/>
      <c r="P178" s="170"/>
      <c r="Q178" s="197">
        <f>Q150</f>
        <v>18.829999999999998</v>
      </c>
      <c r="R178" s="168"/>
      <c r="S178" s="231">
        <f t="shared" ref="S178:S189" si="85">S152</f>
        <v>27.443999999999999</v>
      </c>
    </row>
    <row r="179" spans="1:19" x14ac:dyDescent="0.25">
      <c r="A179" s="165">
        <f t="shared" ref="A179:A192" si="86">A151</f>
        <v>41729</v>
      </c>
      <c r="B179" s="211"/>
      <c r="C179" s="212">
        <f>C153</f>
        <v>17.2</v>
      </c>
      <c r="D179" s="211"/>
      <c r="E179" s="212">
        <f>E153</f>
        <v>2.41</v>
      </c>
      <c r="F179" s="211"/>
      <c r="G179" s="185">
        <f>G151</f>
        <v>0</v>
      </c>
      <c r="H179" s="211"/>
      <c r="I179" s="185"/>
      <c r="J179" s="211"/>
      <c r="K179" s="185">
        <f>K151</f>
        <v>327.79</v>
      </c>
      <c r="L179" s="186">
        <f>L151</f>
        <v>327.73</v>
      </c>
      <c r="M179" s="186">
        <f t="shared" ref="K179:P179" si="87">M153</f>
        <v>8519.1499999999978</v>
      </c>
      <c r="N179" s="186">
        <f t="shared" si="87"/>
        <v>-0.44999999999998863</v>
      </c>
      <c r="O179" s="187">
        <f t="shared" si="87"/>
        <v>310.08</v>
      </c>
      <c r="P179" s="187">
        <f t="shared" si="87"/>
        <v>8519.1499999999978</v>
      </c>
      <c r="Q179" s="211"/>
      <c r="R179" s="185">
        <f>R153</f>
        <v>0.81</v>
      </c>
      <c r="S179" s="231">
        <f t="shared" si="85"/>
        <v>27.474</v>
      </c>
    </row>
    <row r="180" spans="1:19" x14ac:dyDescent="0.25">
      <c r="A180" s="162">
        <f t="shared" si="86"/>
        <v>41749</v>
      </c>
      <c r="B180" s="198">
        <f>B152</f>
        <v>471.85</v>
      </c>
      <c r="C180" s="214"/>
      <c r="D180" s="198">
        <f>D152</f>
        <v>66.150000000000006</v>
      </c>
      <c r="E180" s="214"/>
      <c r="F180" s="198">
        <f>F152</f>
        <v>16</v>
      </c>
      <c r="G180" s="188"/>
      <c r="H180" s="198">
        <f>B180+D180</f>
        <v>538</v>
      </c>
      <c r="I180" s="188">
        <f>I154</f>
        <v>20.170000000000002</v>
      </c>
      <c r="J180" s="198">
        <f>J152</f>
        <v>8519.1499999999978</v>
      </c>
      <c r="K180" s="224"/>
      <c r="L180" s="225"/>
      <c r="M180" s="225"/>
      <c r="N180" s="225"/>
      <c r="O180" s="226"/>
      <c r="P180" s="226"/>
      <c r="Q180" s="198">
        <f>Q152</f>
        <v>22.31</v>
      </c>
      <c r="R180" s="224"/>
      <c r="S180" s="231">
        <f t="shared" si="85"/>
        <v>27.472000000000001</v>
      </c>
    </row>
    <row r="181" spans="1:19" x14ac:dyDescent="0.25">
      <c r="A181" s="165">
        <f t="shared" si="86"/>
        <v>41759</v>
      </c>
      <c r="B181" s="217"/>
      <c r="C181" s="212">
        <f>C155</f>
        <v>17.14</v>
      </c>
      <c r="D181" s="217"/>
      <c r="E181" s="212">
        <f>E155</f>
        <v>2.4500000000000002</v>
      </c>
      <c r="F181" s="217"/>
      <c r="G181" s="185">
        <f>G153</f>
        <v>0.57999999999999996</v>
      </c>
      <c r="H181" s="217"/>
      <c r="I181" s="218"/>
      <c r="J181" s="211"/>
      <c r="K181" s="185">
        <f>K153</f>
        <v>310.52999999999997</v>
      </c>
      <c r="L181" s="186">
        <f>L153</f>
        <v>310.08</v>
      </c>
      <c r="M181" s="186">
        <f t="shared" ref="K181:P181" si="88">M155</f>
        <v>8048.32</v>
      </c>
      <c r="N181" s="186">
        <f t="shared" si="88"/>
        <v>5.0000000000011369E-2</v>
      </c>
      <c r="O181" s="187">
        <f t="shared" si="88"/>
        <v>292.99</v>
      </c>
      <c r="P181" s="187">
        <f t="shared" si="88"/>
        <v>8048.32</v>
      </c>
      <c r="Q181" s="217"/>
      <c r="R181" s="185">
        <f>R155</f>
        <v>0.84</v>
      </c>
      <c r="S181" s="231">
        <f t="shared" si="85"/>
        <v>27.47</v>
      </c>
    </row>
    <row r="182" spans="1:19" s="37" customFormat="1" x14ac:dyDescent="0.25">
      <c r="A182" s="162">
        <f t="shared" si="86"/>
        <v>41779</v>
      </c>
      <c r="B182" s="198">
        <f>B154</f>
        <v>470.83</v>
      </c>
      <c r="C182" s="214"/>
      <c r="D182" s="198">
        <f>D154</f>
        <v>67.17</v>
      </c>
      <c r="E182" s="214"/>
      <c r="F182" s="198">
        <f>F154</f>
        <v>16</v>
      </c>
      <c r="G182" s="188"/>
      <c r="H182" s="198">
        <f>B182+D182</f>
        <v>538</v>
      </c>
      <c r="I182" s="188">
        <f>I156</f>
        <v>20.170000000000002</v>
      </c>
      <c r="J182" s="198">
        <f>J154</f>
        <v>8048.32</v>
      </c>
      <c r="K182" s="224"/>
      <c r="L182" s="225"/>
      <c r="M182" s="225"/>
      <c r="N182" s="225"/>
      <c r="O182" s="226"/>
      <c r="P182" s="226"/>
      <c r="Q182" s="198">
        <f>Q154</f>
        <v>23.18</v>
      </c>
      <c r="R182" s="224"/>
      <c r="S182" s="231">
        <f t="shared" si="85"/>
        <v>27.472999999999999</v>
      </c>
    </row>
    <row r="183" spans="1:19" x14ac:dyDescent="0.25">
      <c r="A183" s="165">
        <f t="shared" si="86"/>
        <v>41790</v>
      </c>
      <c r="B183" s="217"/>
      <c r="C183" s="212">
        <f>C157</f>
        <v>17.2</v>
      </c>
      <c r="D183" s="217"/>
      <c r="E183" s="212">
        <f>E157</f>
        <v>2.39</v>
      </c>
      <c r="F183" s="217"/>
      <c r="G183" s="185">
        <f>G155</f>
        <v>0.57999999999999996</v>
      </c>
      <c r="H183" s="217"/>
      <c r="I183" s="218"/>
      <c r="J183" s="211"/>
      <c r="K183" s="185">
        <f>K155</f>
        <v>292.94</v>
      </c>
      <c r="L183" s="186">
        <f>L155</f>
        <v>292.99</v>
      </c>
      <c r="M183" s="186">
        <f t="shared" ref="K183:P183" si="89">M157</f>
        <v>7575.9</v>
      </c>
      <c r="N183" s="186">
        <f t="shared" si="89"/>
        <v>-5.0000000000011369E-2</v>
      </c>
      <c r="O183" s="187">
        <f t="shared" si="89"/>
        <v>275.74</v>
      </c>
      <c r="P183" s="187">
        <f t="shared" si="89"/>
        <v>7575.9</v>
      </c>
      <c r="Q183" s="217"/>
      <c r="R183" s="185">
        <f>R157</f>
        <v>0.72</v>
      </c>
      <c r="S183" s="231">
        <f t="shared" si="85"/>
        <v>27.475000000000001</v>
      </c>
    </row>
    <row r="184" spans="1:19" x14ac:dyDescent="0.25">
      <c r="A184" s="162">
        <f t="shared" si="86"/>
        <v>41810</v>
      </c>
      <c r="B184" s="198">
        <f>B156</f>
        <v>472.42</v>
      </c>
      <c r="C184" s="214"/>
      <c r="D184" s="198">
        <f>D156</f>
        <v>65.58</v>
      </c>
      <c r="E184" s="214"/>
      <c r="F184" s="198">
        <f>F156</f>
        <v>16</v>
      </c>
      <c r="G184" s="188"/>
      <c r="H184" s="198">
        <f>B184+D184</f>
        <v>538</v>
      </c>
      <c r="I184" s="188">
        <f>I158</f>
        <v>20.170000000000002</v>
      </c>
      <c r="J184" s="198">
        <f>J156</f>
        <v>7575.9</v>
      </c>
      <c r="K184" s="224"/>
      <c r="L184" s="225"/>
      <c r="M184" s="225"/>
      <c r="N184" s="225"/>
      <c r="O184" s="226"/>
      <c r="P184" s="226"/>
      <c r="Q184" s="198">
        <f>Q156</f>
        <v>19.84</v>
      </c>
      <c r="R184" s="224"/>
      <c r="S184" s="231">
        <f t="shared" si="85"/>
        <v>27.472000000000001</v>
      </c>
    </row>
    <row r="185" spans="1:19" x14ac:dyDescent="0.25">
      <c r="A185" s="165">
        <f t="shared" si="86"/>
        <v>41820</v>
      </c>
      <c r="B185" s="217"/>
      <c r="C185" s="212">
        <f>C159</f>
        <v>17.41</v>
      </c>
      <c r="D185" s="217"/>
      <c r="E185" s="212">
        <f>E159</f>
        <v>2.17</v>
      </c>
      <c r="F185" s="217"/>
      <c r="G185" s="185">
        <f>G157</f>
        <v>0.57999999999999996</v>
      </c>
      <c r="H185" s="217"/>
      <c r="I185" s="218"/>
      <c r="J185" s="211"/>
      <c r="K185" s="185">
        <f>K157</f>
        <v>275.79000000000002</v>
      </c>
      <c r="L185" s="186">
        <f>L157</f>
        <v>275.74</v>
      </c>
      <c r="M185" s="186">
        <f t="shared" ref="K185:P185" si="90">M159</f>
        <v>7097.6299999999992</v>
      </c>
      <c r="N185" s="186">
        <f t="shared" si="90"/>
        <v>4.0000000000020464E-2</v>
      </c>
      <c r="O185" s="187">
        <f t="shared" si="90"/>
        <v>258.37</v>
      </c>
      <c r="P185" s="187">
        <f t="shared" si="90"/>
        <v>7097.6299999999992</v>
      </c>
      <c r="Q185" s="217"/>
      <c r="R185" s="185">
        <f>R159</f>
        <v>0.74</v>
      </c>
      <c r="S185" s="231">
        <f t="shared" si="85"/>
        <v>27.471</v>
      </c>
    </row>
    <row r="186" spans="1:19" x14ac:dyDescent="0.25">
      <c r="A186" s="162">
        <f t="shared" si="86"/>
        <v>41840</v>
      </c>
      <c r="B186" s="198">
        <f>B158</f>
        <v>478.27</v>
      </c>
      <c r="C186" s="214"/>
      <c r="D186" s="198">
        <f>D158</f>
        <v>59.73</v>
      </c>
      <c r="E186" s="214"/>
      <c r="F186" s="198">
        <f>F158</f>
        <v>16</v>
      </c>
      <c r="G186" s="188"/>
      <c r="H186" s="198">
        <f>B186+D186</f>
        <v>538</v>
      </c>
      <c r="I186" s="188">
        <f>I160</f>
        <v>20.18</v>
      </c>
      <c r="J186" s="198">
        <f>J158</f>
        <v>7097.6299999999992</v>
      </c>
      <c r="K186" s="224"/>
      <c r="L186" s="225"/>
      <c r="M186" s="225"/>
      <c r="N186" s="225"/>
      <c r="O186" s="226"/>
      <c r="P186" s="226"/>
      <c r="Q186" s="198">
        <f>Q158</f>
        <v>20.440000000000001</v>
      </c>
      <c r="R186" s="224"/>
      <c r="S186" s="231">
        <f t="shared" si="85"/>
        <v>27.456</v>
      </c>
    </row>
    <row r="187" spans="1:19" s="37" customFormat="1" x14ac:dyDescent="0.25">
      <c r="A187" s="165">
        <f t="shared" si="86"/>
        <v>41851</v>
      </c>
      <c r="B187" s="217"/>
      <c r="C187" s="212">
        <f>C161</f>
        <v>17.48</v>
      </c>
      <c r="D187" s="217"/>
      <c r="E187" s="212">
        <f>E161</f>
        <v>2.11</v>
      </c>
      <c r="F187" s="217"/>
      <c r="G187" s="185">
        <f>G159</f>
        <v>0.57999999999999996</v>
      </c>
      <c r="H187" s="217"/>
      <c r="I187" s="218"/>
      <c r="J187" s="211"/>
      <c r="K187" s="185">
        <f>K159</f>
        <v>258.33</v>
      </c>
      <c r="L187" s="186">
        <f>L159</f>
        <v>258.37</v>
      </c>
      <c r="M187" s="186">
        <f t="shared" ref="K187:P187" si="91">M161</f>
        <v>6617.4699999999993</v>
      </c>
      <c r="N187" s="186">
        <f t="shared" si="91"/>
        <v>0.54000000000002046</v>
      </c>
      <c r="O187" s="187">
        <f t="shared" si="91"/>
        <v>241.43</v>
      </c>
      <c r="P187" s="187">
        <f t="shared" si="91"/>
        <v>6617.4699999999993</v>
      </c>
      <c r="Q187" s="217"/>
      <c r="R187" s="185">
        <f>R161</f>
        <v>0.7</v>
      </c>
      <c r="S187" s="231">
        <f t="shared" si="85"/>
        <v>27.41</v>
      </c>
    </row>
    <row r="188" spans="1:19" x14ac:dyDescent="0.25">
      <c r="A188" s="162">
        <f t="shared" si="86"/>
        <v>41871</v>
      </c>
      <c r="B188" s="198">
        <f>B160</f>
        <v>480.16</v>
      </c>
      <c r="C188" s="214"/>
      <c r="D188" s="198">
        <f>D160</f>
        <v>57.84</v>
      </c>
      <c r="E188" s="214"/>
      <c r="F188" s="198">
        <f>F160</f>
        <v>16</v>
      </c>
      <c r="G188" s="188"/>
      <c r="H188" s="198">
        <f>B188+D188</f>
        <v>538</v>
      </c>
      <c r="I188" s="188">
        <f>I162</f>
        <v>20.18</v>
      </c>
      <c r="J188" s="198">
        <f>J160</f>
        <v>6617.4699999999993</v>
      </c>
      <c r="K188" s="224"/>
      <c r="L188" s="225"/>
      <c r="M188" s="225"/>
      <c r="N188" s="225"/>
      <c r="O188" s="226"/>
      <c r="P188" s="226"/>
      <c r="Q188" s="198">
        <f>Q160</f>
        <v>19.059999999999999</v>
      </c>
      <c r="R188" s="224"/>
      <c r="S188" s="231">
        <f t="shared" si="85"/>
        <v>27.456</v>
      </c>
    </row>
    <row r="189" spans="1:19" x14ac:dyDescent="0.25">
      <c r="A189" s="165">
        <f t="shared" si="86"/>
        <v>41882</v>
      </c>
      <c r="B189" s="217"/>
      <c r="C189" s="212">
        <f>C163</f>
        <v>17.66</v>
      </c>
      <c r="D189" s="217"/>
      <c r="E189" s="212">
        <f>E163</f>
        <v>1.97</v>
      </c>
      <c r="F189" s="217"/>
      <c r="G189" s="185">
        <f>G161</f>
        <v>0.57999999999999996</v>
      </c>
      <c r="H189" s="217"/>
      <c r="I189" s="218"/>
      <c r="J189" s="211"/>
      <c r="K189" s="185">
        <f>K161</f>
        <v>240.89</v>
      </c>
      <c r="L189" s="186">
        <f>L161</f>
        <v>241.43</v>
      </c>
      <c r="M189" s="186">
        <f t="shared" ref="K189:P189" si="92">M163</f>
        <v>6133.3899999999994</v>
      </c>
      <c r="N189" s="186">
        <f t="shared" si="92"/>
        <v>9.0000000000003411E-2</v>
      </c>
      <c r="O189" s="187">
        <f t="shared" si="92"/>
        <v>223.85</v>
      </c>
      <c r="P189" s="187">
        <f t="shared" si="92"/>
        <v>6133.3899999999994</v>
      </c>
      <c r="Q189" s="217"/>
      <c r="R189" s="185">
        <f>R163</f>
        <v>0.59</v>
      </c>
      <c r="S189" s="231">
        <f t="shared" si="85"/>
        <v>27.4</v>
      </c>
    </row>
    <row r="190" spans="1:19" x14ac:dyDescent="0.25">
      <c r="A190" s="220">
        <f t="shared" si="86"/>
        <v>41902</v>
      </c>
      <c r="B190" s="198">
        <f>B162</f>
        <v>484.08</v>
      </c>
      <c r="C190" s="214"/>
      <c r="D190" s="198">
        <f>D162</f>
        <v>53.92</v>
      </c>
      <c r="E190" s="214"/>
      <c r="F190" s="198">
        <f>F162</f>
        <v>16</v>
      </c>
      <c r="G190" s="188"/>
      <c r="H190" s="198">
        <f>B190+D190</f>
        <v>538</v>
      </c>
      <c r="I190" s="188">
        <f>ROUND((B190+D190+F190)/S190,2)</f>
        <v>20.18</v>
      </c>
      <c r="J190" s="198">
        <f>J162</f>
        <v>6133.3899999999994</v>
      </c>
      <c r="K190" s="223"/>
      <c r="L190" s="178"/>
      <c r="M190" s="178"/>
      <c r="N190" s="178"/>
      <c r="O190" s="179"/>
      <c r="P190" s="179"/>
      <c r="Q190" s="198">
        <f>Q162</f>
        <v>16.059999999999999</v>
      </c>
      <c r="R190" s="188"/>
      <c r="S190" s="228">
        <v>27.456</v>
      </c>
    </row>
    <row r="191" spans="1:19" x14ac:dyDescent="0.25">
      <c r="A191" s="165">
        <f t="shared" si="86"/>
        <v>41912</v>
      </c>
      <c r="B191" s="217"/>
      <c r="C191" s="212">
        <f>C163</f>
        <v>17.66</v>
      </c>
      <c r="D191" s="217"/>
      <c r="E191" s="213">
        <f>ROUND(D190/S191,2)</f>
        <v>1.97</v>
      </c>
      <c r="F191" s="217"/>
      <c r="G191" s="185">
        <f>G163</f>
        <v>0.57999999999999996</v>
      </c>
      <c r="H191" s="217"/>
      <c r="I191" s="218"/>
      <c r="J191" s="217"/>
      <c r="K191" s="185">
        <f>K163</f>
        <v>223.76</v>
      </c>
      <c r="L191" s="186">
        <f>L163</f>
        <v>223.85</v>
      </c>
      <c r="M191" s="186">
        <f>J190</f>
        <v>6133.3899999999994</v>
      </c>
      <c r="N191" s="186">
        <f>L191-K191</f>
        <v>9.0000000000003411E-2</v>
      </c>
      <c r="O191" s="187">
        <f>ROUND(P191/S191,2)</f>
        <v>223.85</v>
      </c>
      <c r="P191" s="187">
        <f>SUM(B192:B204)</f>
        <v>6133.3899999999994</v>
      </c>
      <c r="Q191" s="217"/>
      <c r="R191" s="218">
        <f>ROUND(Q190/S191,2)</f>
        <v>0.59</v>
      </c>
      <c r="S191" s="231">
        <v>27.4</v>
      </c>
    </row>
    <row r="192" spans="1:19" x14ac:dyDescent="0.25">
      <c r="A192" s="166">
        <f t="shared" si="86"/>
        <v>41932</v>
      </c>
      <c r="B192" s="198">
        <f>B164</f>
        <v>489.64</v>
      </c>
      <c r="C192" s="222"/>
      <c r="D192" s="198">
        <f>D164</f>
        <v>48.36</v>
      </c>
      <c r="E192" s="222"/>
      <c r="F192" s="198">
        <f>F164</f>
        <v>16</v>
      </c>
      <c r="G192" s="188"/>
      <c r="H192" s="198">
        <f t="shared" ref="H192:H204" si="93">B192+D192</f>
        <v>538</v>
      </c>
      <c r="I192" s="223"/>
      <c r="J192" s="198">
        <f>J164</f>
        <v>5643.75</v>
      </c>
      <c r="K192" s="175"/>
      <c r="L192" s="178"/>
      <c r="M192" s="178"/>
      <c r="N192" s="178"/>
      <c r="O192" s="179"/>
      <c r="P192" s="179"/>
      <c r="Q192" s="198">
        <f>Q164</f>
        <v>16.25</v>
      </c>
      <c r="R192" s="223"/>
      <c r="S192" s="228">
        <v>27.431999999999999</v>
      </c>
    </row>
    <row r="193" spans="1:19" ht="15.75" thickBot="1" x14ac:dyDescent="0.3">
      <c r="A193" s="163">
        <f>EOMONTH(A192,0)</f>
        <v>41943</v>
      </c>
      <c r="B193" s="215"/>
      <c r="C193" s="201">
        <f>ROUND(B192/S191,2)</f>
        <v>17.87</v>
      </c>
      <c r="D193" s="215"/>
      <c r="E193" s="201">
        <f>ROUND(D192/S193,2)</f>
        <v>1.76</v>
      </c>
      <c r="F193" s="215"/>
      <c r="G193" s="279">
        <f>ROUND(F192/S193,2)</f>
        <v>0.57999999999999996</v>
      </c>
      <c r="H193" s="215"/>
      <c r="I193" s="191"/>
      <c r="J193" s="215"/>
      <c r="K193" s="191">
        <f>ROUND(SUM(B194:B204)/S191,2)</f>
        <v>205.98</v>
      </c>
      <c r="L193" s="173">
        <f>ROUND(SUM(B194:B204)/S193,2)</f>
        <v>205.79</v>
      </c>
      <c r="M193" s="173">
        <f>J192</f>
        <v>5643.75</v>
      </c>
      <c r="N193" s="173">
        <f>L193-K193</f>
        <v>-0.18999999999999773</v>
      </c>
      <c r="O193" s="174">
        <f>ROUND(P193/S193,2)</f>
        <v>533.63</v>
      </c>
      <c r="P193" s="174">
        <f>SUM(B194:B206)</f>
        <v>14634.749999999998</v>
      </c>
      <c r="Q193" s="215"/>
      <c r="R193" s="191">
        <f>ROUND(Q192/S193,2)</f>
        <v>0.59</v>
      </c>
      <c r="S193" s="229">
        <v>27.425000000000001</v>
      </c>
    </row>
    <row r="194" spans="1:19" ht="15.75" thickTop="1" x14ac:dyDescent="0.25">
      <c r="A194" s="166">
        <f>A165</f>
        <v>41963</v>
      </c>
      <c r="B194" s="216">
        <f>B165</f>
        <v>492.01</v>
      </c>
      <c r="C194" s="205"/>
      <c r="D194" s="216">
        <f>D165</f>
        <v>45.99</v>
      </c>
      <c r="E194" s="205"/>
      <c r="F194" s="216">
        <f>F165</f>
        <v>16</v>
      </c>
      <c r="G194" s="206"/>
      <c r="H194" s="198">
        <f t="shared" si="93"/>
        <v>538</v>
      </c>
      <c r="I194" s="206"/>
      <c r="J194" s="198">
        <f>J165</f>
        <v>5151.74</v>
      </c>
      <c r="K194" s="192"/>
      <c r="L194" s="178"/>
      <c r="M194" s="178"/>
      <c r="N194" s="178"/>
      <c r="O194" s="179"/>
      <c r="P194" s="179"/>
      <c r="Q194" s="216">
        <f>Q165</f>
        <v>13.49</v>
      </c>
      <c r="R194" s="206"/>
      <c r="S194" s="228"/>
    </row>
    <row r="195" spans="1:19" x14ac:dyDescent="0.25">
      <c r="A195" s="166">
        <f>A166</f>
        <v>41993</v>
      </c>
      <c r="B195" s="216">
        <f>B166</f>
        <v>497.38</v>
      </c>
      <c r="C195" s="205"/>
      <c r="D195" s="216">
        <f>D166</f>
        <v>40.619999999999997</v>
      </c>
      <c r="E195" s="205"/>
      <c r="F195" s="216">
        <f>F166</f>
        <v>16</v>
      </c>
      <c r="G195" s="206"/>
      <c r="H195" s="198">
        <f t="shared" si="93"/>
        <v>538</v>
      </c>
      <c r="I195" s="206"/>
      <c r="J195" s="216">
        <f>J166</f>
        <v>4654.3599999999997</v>
      </c>
      <c r="K195" s="192"/>
      <c r="L195" s="178"/>
      <c r="M195" s="178"/>
      <c r="N195" s="178"/>
      <c r="O195" s="179"/>
      <c r="P195" s="179"/>
      <c r="Q195" s="216">
        <f>Q166</f>
        <v>13.4</v>
      </c>
      <c r="R195" s="206"/>
      <c r="S195" s="228"/>
    </row>
    <row r="196" spans="1:19" s="15" customFormat="1" x14ac:dyDescent="0.25">
      <c r="A196" s="160">
        <f t="shared" ref="A196:A204" si="94">EDATE(A195,1)</f>
        <v>42024</v>
      </c>
      <c r="B196" s="216">
        <f t="shared" ref="B196:D204" si="95">B167</f>
        <v>500.07</v>
      </c>
      <c r="C196" s="205"/>
      <c r="D196" s="216">
        <f t="shared" si="95"/>
        <v>37.93</v>
      </c>
      <c r="E196" s="205"/>
      <c r="F196" s="216">
        <f t="shared" ref="F196" si="96">F167</f>
        <v>16</v>
      </c>
      <c r="G196" s="206"/>
      <c r="H196" s="198">
        <f t="shared" si="93"/>
        <v>538</v>
      </c>
      <c r="I196" s="206"/>
      <c r="J196" s="216">
        <f t="shared" ref="J196:J203" si="97">J167</f>
        <v>4154.29</v>
      </c>
      <c r="K196" s="175"/>
      <c r="L196" s="178"/>
      <c r="M196" s="178"/>
      <c r="N196" s="178"/>
      <c r="O196" s="179"/>
      <c r="P196" s="179"/>
      <c r="Q196" s="216">
        <f t="shared" ref="Q196" si="98">Q167</f>
        <v>11.96</v>
      </c>
      <c r="R196" s="206"/>
      <c r="S196" s="228"/>
    </row>
    <row r="197" spans="1:19" s="15" customFormat="1" x14ac:dyDescent="0.25">
      <c r="A197" s="160">
        <f t="shared" si="94"/>
        <v>42055</v>
      </c>
      <c r="B197" s="216">
        <f t="shared" si="95"/>
        <v>504.15</v>
      </c>
      <c r="C197" s="205"/>
      <c r="D197" s="216">
        <f t="shared" si="95"/>
        <v>33.85</v>
      </c>
      <c r="E197" s="205"/>
      <c r="F197" s="216">
        <f t="shared" ref="F197" si="99">F168</f>
        <v>16</v>
      </c>
      <c r="G197" s="206"/>
      <c r="H197" s="198">
        <f t="shared" si="93"/>
        <v>538</v>
      </c>
      <c r="I197" s="206"/>
      <c r="J197" s="216">
        <f t="shared" si="97"/>
        <v>3650.1400000000003</v>
      </c>
      <c r="K197" s="175"/>
      <c r="L197" s="178"/>
      <c r="M197" s="178"/>
      <c r="N197" s="178"/>
      <c r="O197" s="179"/>
      <c r="P197" s="179"/>
      <c r="Q197" s="216">
        <f t="shared" ref="Q197" si="100">Q168</f>
        <v>7.65</v>
      </c>
      <c r="R197" s="206"/>
      <c r="S197" s="228"/>
    </row>
    <row r="198" spans="1:19" s="15" customFormat="1" x14ac:dyDescent="0.25">
      <c r="A198" s="160">
        <f t="shared" si="94"/>
        <v>42083</v>
      </c>
      <c r="B198" s="216">
        <f t="shared" si="95"/>
        <v>511.15</v>
      </c>
      <c r="C198" s="205"/>
      <c r="D198" s="216">
        <f t="shared" si="95"/>
        <v>26.85</v>
      </c>
      <c r="E198" s="205"/>
      <c r="F198" s="216">
        <f t="shared" ref="F198" si="101">F169</f>
        <v>16</v>
      </c>
      <c r="G198" s="206"/>
      <c r="H198" s="198">
        <f t="shared" si="93"/>
        <v>538</v>
      </c>
      <c r="I198" s="206"/>
      <c r="J198" s="216">
        <f t="shared" si="97"/>
        <v>3138.9900000000002</v>
      </c>
      <c r="K198" s="175"/>
      <c r="L198" s="178"/>
      <c r="M198" s="178"/>
      <c r="N198" s="178"/>
      <c r="O198" s="179"/>
      <c r="P198" s="179"/>
      <c r="Q198" s="216">
        <f t="shared" ref="Q198" si="102">Q169</f>
        <v>9.0399999999999991</v>
      </c>
      <c r="R198" s="206"/>
      <c r="S198" s="228"/>
    </row>
    <row r="199" spans="1:19" s="15" customFormat="1" x14ac:dyDescent="0.25">
      <c r="A199" s="160">
        <f t="shared" si="94"/>
        <v>42114</v>
      </c>
      <c r="B199" s="216">
        <f t="shared" si="95"/>
        <v>512.41999999999996</v>
      </c>
      <c r="C199" s="205"/>
      <c r="D199" s="216">
        <f t="shared" si="95"/>
        <v>25.58</v>
      </c>
      <c r="E199" s="205"/>
      <c r="F199" s="216">
        <f t="shared" ref="F199" si="103">F170</f>
        <v>16</v>
      </c>
      <c r="G199" s="206"/>
      <c r="H199" s="198">
        <f t="shared" si="93"/>
        <v>538</v>
      </c>
      <c r="I199" s="206"/>
      <c r="J199" s="216">
        <f t="shared" si="97"/>
        <v>2626.57</v>
      </c>
      <c r="K199" s="175"/>
      <c r="L199" s="178"/>
      <c r="M199" s="178"/>
      <c r="N199" s="178"/>
      <c r="O199" s="179"/>
      <c r="P199" s="179"/>
      <c r="Q199" s="216">
        <f t="shared" ref="Q199" si="104">Q170</f>
        <v>6.88</v>
      </c>
      <c r="R199" s="206"/>
      <c r="S199" s="228"/>
    </row>
    <row r="200" spans="1:19" s="15" customFormat="1" x14ac:dyDescent="0.25">
      <c r="A200" s="160">
        <f t="shared" si="94"/>
        <v>42144</v>
      </c>
      <c r="B200" s="216">
        <f t="shared" si="95"/>
        <v>517.29</v>
      </c>
      <c r="C200" s="205"/>
      <c r="D200" s="216">
        <f t="shared" si="95"/>
        <v>20.71</v>
      </c>
      <c r="E200" s="205"/>
      <c r="F200" s="216">
        <f t="shared" ref="F200" si="105">F171</f>
        <v>16</v>
      </c>
      <c r="G200" s="206"/>
      <c r="H200" s="198">
        <f t="shared" si="93"/>
        <v>538</v>
      </c>
      <c r="I200" s="206"/>
      <c r="J200" s="216">
        <f t="shared" si="97"/>
        <v>2109.2800000000002</v>
      </c>
      <c r="K200" s="175"/>
      <c r="L200" s="178"/>
      <c r="M200" s="178"/>
      <c r="N200" s="178"/>
      <c r="O200" s="179"/>
      <c r="P200" s="179"/>
      <c r="Q200" s="216">
        <f t="shared" ref="Q200" si="106">Q171</f>
        <v>6.07</v>
      </c>
      <c r="R200" s="206"/>
      <c r="S200" s="228"/>
    </row>
    <row r="201" spans="1:19" x14ac:dyDescent="0.25">
      <c r="A201" s="160">
        <f t="shared" si="94"/>
        <v>42175</v>
      </c>
      <c r="B201" s="216">
        <f t="shared" si="95"/>
        <v>520.80999999999995</v>
      </c>
      <c r="C201" s="205"/>
      <c r="D201" s="216">
        <f t="shared" si="95"/>
        <v>17.190000000000001</v>
      </c>
      <c r="E201" s="205"/>
      <c r="F201" s="216">
        <f t="shared" ref="F201" si="107">F172</f>
        <v>16</v>
      </c>
      <c r="G201" s="206"/>
      <c r="H201" s="198">
        <f t="shared" si="93"/>
        <v>538</v>
      </c>
      <c r="I201" s="206"/>
      <c r="J201" s="216">
        <f t="shared" si="97"/>
        <v>1588.4700000000003</v>
      </c>
      <c r="K201" s="192"/>
      <c r="L201" s="178"/>
      <c r="M201" s="178"/>
      <c r="N201" s="178"/>
      <c r="O201" s="179"/>
      <c r="P201" s="179"/>
      <c r="Q201" s="216">
        <f t="shared" ref="Q201" si="108">Q172</f>
        <v>4.16</v>
      </c>
      <c r="R201" s="206"/>
      <c r="S201" s="228"/>
    </row>
    <row r="202" spans="1:19" x14ac:dyDescent="0.25">
      <c r="A202" s="160">
        <f t="shared" si="94"/>
        <v>42205</v>
      </c>
      <c r="B202" s="216">
        <f t="shared" si="95"/>
        <v>525.48</v>
      </c>
      <c r="C202" s="205"/>
      <c r="D202" s="216">
        <f t="shared" si="95"/>
        <v>12.52</v>
      </c>
      <c r="E202" s="205"/>
      <c r="F202" s="216">
        <f t="shared" ref="F202" si="109">F173</f>
        <v>16</v>
      </c>
      <c r="G202" s="206"/>
      <c r="H202" s="198">
        <f t="shared" si="93"/>
        <v>538</v>
      </c>
      <c r="I202" s="206"/>
      <c r="J202" s="216">
        <f t="shared" si="97"/>
        <v>1062.99</v>
      </c>
      <c r="K202" s="192"/>
      <c r="L202" s="178"/>
      <c r="M202" s="178"/>
      <c r="N202" s="178"/>
      <c r="O202" s="179"/>
      <c r="P202" s="179"/>
      <c r="Q202" s="216">
        <f t="shared" ref="Q202" si="110">Q173</f>
        <v>3.06</v>
      </c>
      <c r="R202" s="206"/>
      <c r="S202" s="228"/>
    </row>
    <row r="203" spans="1:19" x14ac:dyDescent="0.25">
      <c r="A203" s="160">
        <f t="shared" si="94"/>
        <v>42236</v>
      </c>
      <c r="B203" s="216">
        <f t="shared" si="95"/>
        <v>529.34</v>
      </c>
      <c r="C203" s="205"/>
      <c r="D203" s="216">
        <f t="shared" si="95"/>
        <v>8.66</v>
      </c>
      <c r="E203" s="205"/>
      <c r="F203" s="216">
        <f t="shared" ref="F203" si="111">F174</f>
        <v>16</v>
      </c>
      <c r="G203" s="206"/>
      <c r="H203" s="198">
        <f t="shared" si="93"/>
        <v>538</v>
      </c>
      <c r="I203" s="206"/>
      <c r="J203" s="216">
        <f t="shared" si="97"/>
        <v>533.65</v>
      </c>
      <c r="K203" s="192"/>
      <c r="L203" s="178"/>
      <c r="M203" s="178"/>
      <c r="N203" s="178"/>
      <c r="O203" s="179"/>
      <c r="P203" s="179"/>
      <c r="Q203" s="216">
        <f t="shared" ref="Q203" si="112">Q174</f>
        <v>1.54</v>
      </c>
      <c r="R203" s="206"/>
      <c r="S203" s="228"/>
    </row>
    <row r="204" spans="1:19" ht="15.75" thickBot="1" x14ac:dyDescent="0.3">
      <c r="A204" s="160">
        <f t="shared" si="94"/>
        <v>42267</v>
      </c>
      <c r="B204" s="216">
        <f t="shared" si="95"/>
        <v>533.65</v>
      </c>
      <c r="C204" s="205"/>
      <c r="D204" s="216">
        <f t="shared" si="95"/>
        <v>4.3499999999999996</v>
      </c>
      <c r="E204" s="205"/>
      <c r="F204" s="216">
        <f t="shared" ref="F204" si="113">F175</f>
        <v>16</v>
      </c>
      <c r="G204" s="206"/>
      <c r="H204" s="198">
        <f t="shared" si="93"/>
        <v>538</v>
      </c>
      <c r="I204" s="206"/>
      <c r="J204" s="216">
        <f>J175</f>
        <v>0</v>
      </c>
      <c r="K204" s="192"/>
      <c r="L204" s="178"/>
      <c r="M204" s="178"/>
      <c r="N204" s="178"/>
      <c r="O204" s="179"/>
      <c r="P204" s="179"/>
      <c r="Q204" s="216">
        <f t="shared" ref="Q204" si="114">Q175</f>
        <v>0</v>
      </c>
      <c r="R204" s="206"/>
      <c r="S204" s="228"/>
    </row>
    <row r="205" spans="1:19" ht="15.75" thickBot="1" x14ac:dyDescent="0.3">
      <c r="A205" s="164"/>
      <c r="B205" s="207">
        <f>SUM(B178:B204)</f>
        <v>8990.9999999999982</v>
      </c>
      <c r="C205" s="208"/>
      <c r="D205" s="207">
        <f>SUM(D178:D204)</f>
        <v>693.00000000000023</v>
      </c>
      <c r="E205" s="208"/>
      <c r="F205" s="207">
        <f>SUM(F178:F204)</f>
        <v>288</v>
      </c>
      <c r="G205" s="209"/>
      <c r="H205" s="207">
        <f>SUM(H178:H204)</f>
        <v>9684</v>
      </c>
      <c r="I205" s="209"/>
      <c r="J205" s="207">
        <f>SUM(J178:J204)</f>
        <v>87297.09</v>
      </c>
      <c r="K205" s="209"/>
      <c r="L205" s="180"/>
      <c r="M205" s="180"/>
      <c r="N205" s="181">
        <f>SUM(N179:N190)</f>
        <v>0.22000000000005571</v>
      </c>
      <c r="O205" s="182"/>
      <c r="P205" s="182"/>
      <c r="Q205" s="207">
        <f>SUM(Q178:Q204)</f>
        <v>233.22</v>
      </c>
      <c r="R205" s="210"/>
      <c r="S205" s="227"/>
    </row>
    <row r="206" spans="1:19" x14ac:dyDescent="0.25">
      <c r="F206"/>
    </row>
    <row r="207" spans="1:19" ht="15.75" thickBot="1" x14ac:dyDescent="0.3">
      <c r="A207" s="219"/>
      <c r="B207" s="199"/>
      <c r="C207" s="183"/>
      <c r="D207" s="199"/>
      <c r="E207" s="183"/>
      <c r="F207" s="199"/>
      <c r="G207" s="272"/>
      <c r="H207" s="199"/>
      <c r="I207" s="184"/>
      <c r="J207" s="199"/>
      <c r="K207" s="184"/>
      <c r="L207" s="184"/>
      <c r="M207" s="184"/>
      <c r="N207" s="184"/>
      <c r="O207" s="184"/>
      <c r="P207" s="184"/>
      <c r="Q207" s="199"/>
      <c r="R207" s="184"/>
      <c r="S207" s="230"/>
    </row>
    <row r="208" spans="1:19" x14ac:dyDescent="0.25">
      <c r="A208" s="161">
        <f>A178</f>
        <v>41721</v>
      </c>
      <c r="B208" s="197">
        <f>B178</f>
        <v>0</v>
      </c>
      <c r="C208" s="167"/>
      <c r="D208" s="197">
        <f>D178</f>
        <v>0</v>
      </c>
      <c r="E208" s="167"/>
      <c r="F208" s="197">
        <f>F178</f>
        <v>0</v>
      </c>
      <c r="G208" s="168"/>
      <c r="H208" s="197">
        <f>B208+D208</f>
        <v>0</v>
      </c>
      <c r="I208" s="168">
        <f>I182</f>
        <v>20.170000000000002</v>
      </c>
      <c r="J208" s="197">
        <f>J178</f>
        <v>8990.9999999999982</v>
      </c>
      <c r="K208" s="168"/>
      <c r="L208" s="169"/>
      <c r="M208" s="169"/>
      <c r="N208" s="169"/>
      <c r="O208" s="170"/>
      <c r="P208" s="170"/>
      <c r="Q208" s="197">
        <f>Q178</f>
        <v>18.829999999999998</v>
      </c>
      <c r="R208" s="168"/>
      <c r="S208" s="231">
        <f t="shared" ref="S208:S219" si="115">S182</f>
        <v>27.472999999999999</v>
      </c>
    </row>
    <row r="209" spans="1:19" x14ac:dyDescent="0.25">
      <c r="A209" s="165">
        <f t="shared" ref="A209:A224" si="116">A179</f>
        <v>41729</v>
      </c>
      <c r="B209" s="211"/>
      <c r="C209" s="212">
        <f>C183</f>
        <v>17.2</v>
      </c>
      <c r="D209" s="211"/>
      <c r="E209" s="212">
        <f>E183</f>
        <v>2.39</v>
      </c>
      <c r="F209" s="211"/>
      <c r="G209" s="185">
        <f>G179</f>
        <v>0</v>
      </c>
      <c r="H209" s="211"/>
      <c r="I209" s="185"/>
      <c r="J209" s="211"/>
      <c r="K209" s="185">
        <f>K179</f>
        <v>327.79</v>
      </c>
      <c r="L209" s="186">
        <f>L179</f>
        <v>327.73</v>
      </c>
      <c r="M209" s="186">
        <f t="shared" ref="K209:P209" si="117">M183</f>
        <v>7575.9</v>
      </c>
      <c r="N209" s="186">
        <f t="shared" si="117"/>
        <v>-5.0000000000011369E-2</v>
      </c>
      <c r="O209" s="187">
        <f t="shared" si="117"/>
        <v>275.74</v>
      </c>
      <c r="P209" s="187">
        <f t="shared" si="117"/>
        <v>7575.9</v>
      </c>
      <c r="Q209" s="211"/>
      <c r="R209" s="185">
        <f>R183</f>
        <v>0.72</v>
      </c>
      <c r="S209" s="231">
        <f t="shared" si="115"/>
        <v>27.475000000000001</v>
      </c>
    </row>
    <row r="210" spans="1:19" x14ac:dyDescent="0.25">
      <c r="A210" s="162">
        <f t="shared" si="116"/>
        <v>41749</v>
      </c>
      <c r="B210" s="198">
        <f>B180</f>
        <v>471.85</v>
      </c>
      <c r="C210" s="214"/>
      <c r="D210" s="198">
        <f>D180</f>
        <v>66.150000000000006</v>
      </c>
      <c r="E210" s="214"/>
      <c r="F210" s="198">
        <f>F180</f>
        <v>16</v>
      </c>
      <c r="G210" s="188"/>
      <c r="H210" s="198">
        <f>B210+D210</f>
        <v>538</v>
      </c>
      <c r="I210" s="188">
        <f>I184</f>
        <v>20.170000000000002</v>
      </c>
      <c r="J210" s="198">
        <f>J180</f>
        <v>8519.1499999999978</v>
      </c>
      <c r="K210" s="224"/>
      <c r="L210" s="225"/>
      <c r="M210" s="225"/>
      <c r="N210" s="225"/>
      <c r="O210" s="226"/>
      <c r="P210" s="226"/>
      <c r="Q210" s="198">
        <f>Q180</f>
        <v>22.31</v>
      </c>
      <c r="R210" s="224"/>
      <c r="S210" s="231">
        <f t="shared" si="115"/>
        <v>27.472000000000001</v>
      </c>
    </row>
    <row r="211" spans="1:19" x14ac:dyDescent="0.25">
      <c r="A211" s="165">
        <f t="shared" si="116"/>
        <v>41759</v>
      </c>
      <c r="B211" s="217"/>
      <c r="C211" s="212">
        <f>C185</f>
        <v>17.41</v>
      </c>
      <c r="D211" s="217"/>
      <c r="E211" s="212">
        <f>E185</f>
        <v>2.17</v>
      </c>
      <c r="F211" s="217"/>
      <c r="G211" s="185">
        <f>G181</f>
        <v>0.57999999999999996</v>
      </c>
      <c r="H211" s="217"/>
      <c r="I211" s="218"/>
      <c r="J211" s="217"/>
      <c r="K211" s="185">
        <f>K181</f>
        <v>310.52999999999997</v>
      </c>
      <c r="L211" s="186">
        <f>L181</f>
        <v>310.08</v>
      </c>
      <c r="M211" s="186">
        <f t="shared" ref="K211:P211" si="118">M185</f>
        <v>7097.6299999999992</v>
      </c>
      <c r="N211" s="186">
        <f t="shared" si="118"/>
        <v>4.0000000000020464E-2</v>
      </c>
      <c r="O211" s="187">
        <f t="shared" si="118"/>
        <v>258.37</v>
      </c>
      <c r="P211" s="187">
        <f t="shared" si="118"/>
        <v>7097.6299999999992</v>
      </c>
      <c r="Q211" s="217"/>
      <c r="R211" s="185">
        <f>R185</f>
        <v>0.74</v>
      </c>
      <c r="S211" s="231">
        <f t="shared" si="115"/>
        <v>27.471</v>
      </c>
    </row>
    <row r="212" spans="1:19" s="37" customFormat="1" x14ac:dyDescent="0.25">
      <c r="A212" s="162">
        <f t="shared" si="116"/>
        <v>41779</v>
      </c>
      <c r="B212" s="198">
        <f>B182</f>
        <v>470.83</v>
      </c>
      <c r="C212" s="214"/>
      <c r="D212" s="198">
        <f>D182</f>
        <v>67.17</v>
      </c>
      <c r="E212" s="214"/>
      <c r="F212" s="198">
        <f>F182</f>
        <v>16</v>
      </c>
      <c r="G212" s="188"/>
      <c r="H212" s="198">
        <f>B212+D212</f>
        <v>538</v>
      </c>
      <c r="I212" s="188">
        <f>I186</f>
        <v>20.18</v>
      </c>
      <c r="J212" s="198">
        <f>J182</f>
        <v>8048.32</v>
      </c>
      <c r="K212" s="224"/>
      <c r="L212" s="225"/>
      <c r="M212" s="225"/>
      <c r="N212" s="225"/>
      <c r="O212" s="226"/>
      <c r="P212" s="226"/>
      <c r="Q212" s="198">
        <f>Q182</f>
        <v>23.18</v>
      </c>
      <c r="R212" s="224"/>
      <c r="S212" s="231">
        <f t="shared" si="115"/>
        <v>27.456</v>
      </c>
    </row>
    <row r="213" spans="1:19" x14ac:dyDescent="0.25">
      <c r="A213" s="165">
        <f t="shared" si="116"/>
        <v>41790</v>
      </c>
      <c r="B213" s="217"/>
      <c r="C213" s="212">
        <f>C187</f>
        <v>17.48</v>
      </c>
      <c r="D213" s="217"/>
      <c r="E213" s="212">
        <f>E187</f>
        <v>2.11</v>
      </c>
      <c r="F213" s="217"/>
      <c r="G213" s="185">
        <f>G183</f>
        <v>0.57999999999999996</v>
      </c>
      <c r="H213" s="217"/>
      <c r="I213" s="218"/>
      <c r="J213" s="217"/>
      <c r="K213" s="185">
        <f>K183</f>
        <v>292.94</v>
      </c>
      <c r="L213" s="186">
        <f>L183</f>
        <v>292.99</v>
      </c>
      <c r="M213" s="186">
        <f t="shared" ref="K213:P213" si="119">M187</f>
        <v>6617.4699999999993</v>
      </c>
      <c r="N213" s="186">
        <f t="shared" si="119"/>
        <v>0.54000000000002046</v>
      </c>
      <c r="O213" s="187">
        <f t="shared" si="119"/>
        <v>241.43</v>
      </c>
      <c r="P213" s="187">
        <f t="shared" si="119"/>
        <v>6617.4699999999993</v>
      </c>
      <c r="Q213" s="217"/>
      <c r="R213" s="185">
        <f>R187</f>
        <v>0.7</v>
      </c>
      <c r="S213" s="231">
        <f t="shared" si="115"/>
        <v>27.41</v>
      </c>
    </row>
    <row r="214" spans="1:19" x14ac:dyDescent="0.25">
      <c r="A214" s="162">
        <f t="shared" si="116"/>
        <v>41810</v>
      </c>
      <c r="B214" s="198">
        <f>B184</f>
        <v>472.42</v>
      </c>
      <c r="C214" s="214"/>
      <c r="D214" s="198">
        <f>D184</f>
        <v>65.58</v>
      </c>
      <c r="E214" s="214"/>
      <c r="F214" s="198">
        <f>F184</f>
        <v>16</v>
      </c>
      <c r="G214" s="188"/>
      <c r="H214" s="198">
        <f>B214+D214</f>
        <v>538</v>
      </c>
      <c r="I214" s="188">
        <f>I188</f>
        <v>20.18</v>
      </c>
      <c r="J214" s="198">
        <f>J184</f>
        <v>7575.9</v>
      </c>
      <c r="K214" s="224"/>
      <c r="L214" s="225"/>
      <c r="M214" s="225"/>
      <c r="N214" s="225"/>
      <c r="O214" s="226"/>
      <c r="P214" s="226"/>
      <c r="Q214" s="198">
        <f>Q184</f>
        <v>19.84</v>
      </c>
      <c r="R214" s="224"/>
      <c r="S214" s="231">
        <f t="shared" si="115"/>
        <v>27.456</v>
      </c>
    </row>
    <row r="215" spans="1:19" x14ac:dyDescent="0.25">
      <c r="A215" s="165">
        <f t="shared" si="116"/>
        <v>41820</v>
      </c>
      <c r="B215" s="217"/>
      <c r="C215" s="212">
        <f>C189</f>
        <v>17.66</v>
      </c>
      <c r="D215" s="217"/>
      <c r="E215" s="212">
        <f>E189</f>
        <v>1.97</v>
      </c>
      <c r="F215" s="217"/>
      <c r="G215" s="185">
        <f>G185</f>
        <v>0.57999999999999996</v>
      </c>
      <c r="H215" s="217"/>
      <c r="I215" s="218"/>
      <c r="J215" s="217"/>
      <c r="K215" s="185">
        <f>K185</f>
        <v>275.79000000000002</v>
      </c>
      <c r="L215" s="186">
        <f>L185</f>
        <v>275.74</v>
      </c>
      <c r="M215" s="186">
        <f t="shared" ref="K215:P215" si="120">M189</f>
        <v>6133.3899999999994</v>
      </c>
      <c r="N215" s="186">
        <f t="shared" si="120"/>
        <v>9.0000000000003411E-2</v>
      </c>
      <c r="O215" s="187">
        <f t="shared" si="120"/>
        <v>223.85</v>
      </c>
      <c r="P215" s="187">
        <f t="shared" si="120"/>
        <v>6133.3899999999994</v>
      </c>
      <c r="Q215" s="217"/>
      <c r="R215" s="185">
        <f>R189</f>
        <v>0.59</v>
      </c>
      <c r="S215" s="231">
        <f t="shared" si="115"/>
        <v>27.4</v>
      </c>
    </row>
    <row r="216" spans="1:19" x14ac:dyDescent="0.25">
      <c r="A216" s="162">
        <f t="shared" si="116"/>
        <v>41840</v>
      </c>
      <c r="B216" s="198">
        <f>B186</f>
        <v>478.27</v>
      </c>
      <c r="C216" s="214"/>
      <c r="D216" s="198">
        <f>D186</f>
        <v>59.73</v>
      </c>
      <c r="E216" s="214"/>
      <c r="F216" s="198">
        <f>F186</f>
        <v>16</v>
      </c>
      <c r="G216" s="188"/>
      <c r="H216" s="198">
        <f>B216+D216</f>
        <v>538</v>
      </c>
      <c r="I216" s="188">
        <f>I190</f>
        <v>20.18</v>
      </c>
      <c r="J216" s="198">
        <f>J186</f>
        <v>7097.6299999999992</v>
      </c>
      <c r="K216" s="224"/>
      <c r="L216" s="225"/>
      <c r="M216" s="225"/>
      <c r="N216" s="225"/>
      <c r="O216" s="226"/>
      <c r="P216" s="226"/>
      <c r="Q216" s="198">
        <f>Q186</f>
        <v>20.440000000000001</v>
      </c>
      <c r="R216" s="224"/>
      <c r="S216" s="231">
        <f t="shared" si="115"/>
        <v>27.456</v>
      </c>
    </row>
    <row r="217" spans="1:19" s="37" customFormat="1" x14ac:dyDescent="0.25">
      <c r="A217" s="165">
        <f t="shared" si="116"/>
        <v>41851</v>
      </c>
      <c r="B217" s="217"/>
      <c r="C217" s="212">
        <f>C191</f>
        <v>17.66</v>
      </c>
      <c r="D217" s="217"/>
      <c r="E217" s="212">
        <f>E191</f>
        <v>1.97</v>
      </c>
      <c r="F217" s="217"/>
      <c r="G217" s="185">
        <f>G187</f>
        <v>0.57999999999999996</v>
      </c>
      <c r="H217" s="217"/>
      <c r="I217" s="218"/>
      <c r="J217" s="217"/>
      <c r="K217" s="185">
        <f>K187</f>
        <v>258.33</v>
      </c>
      <c r="L217" s="186">
        <f>L187</f>
        <v>258.37</v>
      </c>
      <c r="M217" s="186">
        <f t="shared" ref="K217:P217" si="121">M191</f>
        <v>6133.3899999999994</v>
      </c>
      <c r="N217" s="186">
        <f t="shared" si="121"/>
        <v>9.0000000000003411E-2</v>
      </c>
      <c r="O217" s="187">
        <f t="shared" si="121"/>
        <v>223.85</v>
      </c>
      <c r="P217" s="187">
        <f t="shared" si="121"/>
        <v>6133.3899999999994</v>
      </c>
      <c r="Q217" s="217"/>
      <c r="R217" s="185">
        <f>R191</f>
        <v>0.59</v>
      </c>
      <c r="S217" s="231">
        <f t="shared" si="115"/>
        <v>27.4</v>
      </c>
    </row>
    <row r="218" spans="1:19" x14ac:dyDescent="0.25">
      <c r="A218" s="162">
        <f t="shared" si="116"/>
        <v>41871</v>
      </c>
      <c r="B218" s="198">
        <f>B188</f>
        <v>480.16</v>
      </c>
      <c r="C218" s="214"/>
      <c r="D218" s="198">
        <f>D188</f>
        <v>57.84</v>
      </c>
      <c r="E218" s="214"/>
      <c r="F218" s="198">
        <f>F188</f>
        <v>16</v>
      </c>
      <c r="G218" s="188"/>
      <c r="H218" s="198">
        <f>B218+D218</f>
        <v>538</v>
      </c>
      <c r="I218" s="188">
        <f>I192</f>
        <v>0</v>
      </c>
      <c r="J218" s="198">
        <f>J188</f>
        <v>6617.4699999999993</v>
      </c>
      <c r="K218" s="224"/>
      <c r="L218" s="225"/>
      <c r="M218" s="225"/>
      <c r="N218" s="225"/>
      <c r="O218" s="226"/>
      <c r="P218" s="226"/>
      <c r="Q218" s="198">
        <f>Q188</f>
        <v>19.059999999999999</v>
      </c>
      <c r="R218" s="224"/>
      <c r="S218" s="231">
        <f t="shared" si="115"/>
        <v>27.431999999999999</v>
      </c>
    </row>
    <row r="219" spans="1:19" x14ac:dyDescent="0.25">
      <c r="A219" s="165">
        <f t="shared" si="116"/>
        <v>41882</v>
      </c>
      <c r="B219" s="217"/>
      <c r="C219" s="212">
        <f>C193</f>
        <v>17.87</v>
      </c>
      <c r="D219" s="217"/>
      <c r="E219" s="212">
        <f>E193</f>
        <v>1.76</v>
      </c>
      <c r="F219" s="217"/>
      <c r="G219" s="185">
        <f>G189</f>
        <v>0.57999999999999996</v>
      </c>
      <c r="H219" s="217"/>
      <c r="I219" s="218"/>
      <c r="J219" s="217"/>
      <c r="K219" s="185">
        <f>K189</f>
        <v>240.89</v>
      </c>
      <c r="L219" s="186">
        <f>L189</f>
        <v>241.43</v>
      </c>
      <c r="M219" s="186">
        <f t="shared" ref="K219:P219" si="122">M193</f>
        <v>5643.75</v>
      </c>
      <c r="N219" s="186">
        <f t="shared" si="122"/>
        <v>-0.18999999999999773</v>
      </c>
      <c r="O219" s="187">
        <f t="shared" si="122"/>
        <v>533.63</v>
      </c>
      <c r="P219" s="187">
        <f t="shared" si="122"/>
        <v>14634.749999999998</v>
      </c>
      <c r="Q219" s="217"/>
      <c r="R219" s="185">
        <f>R193</f>
        <v>0.59</v>
      </c>
      <c r="S219" s="231">
        <f t="shared" si="115"/>
        <v>27.425000000000001</v>
      </c>
    </row>
    <row r="220" spans="1:19" x14ac:dyDescent="0.25">
      <c r="A220" s="162">
        <f t="shared" si="116"/>
        <v>41902</v>
      </c>
      <c r="B220" s="198">
        <f>B190</f>
        <v>484.08</v>
      </c>
      <c r="C220" s="214"/>
      <c r="D220" s="198">
        <f>D190</f>
        <v>53.92</v>
      </c>
      <c r="E220" s="214"/>
      <c r="F220" s="198">
        <f>F190</f>
        <v>16</v>
      </c>
      <c r="G220" s="188"/>
      <c r="H220" s="198">
        <f>B220+D220</f>
        <v>538</v>
      </c>
      <c r="I220" s="188">
        <f>ROUND((B220+D220+F220)/S220,2)</f>
        <v>20.18</v>
      </c>
      <c r="J220" s="198">
        <f>J190</f>
        <v>6133.3899999999994</v>
      </c>
      <c r="K220" s="223"/>
      <c r="L220" s="178"/>
      <c r="M220" s="178"/>
      <c r="N220" s="178"/>
      <c r="O220" s="179"/>
      <c r="P220" s="179"/>
      <c r="Q220" s="198">
        <f>Q190</f>
        <v>16.059999999999999</v>
      </c>
      <c r="R220" s="188"/>
      <c r="S220" s="228">
        <v>27.456</v>
      </c>
    </row>
    <row r="221" spans="1:19" x14ac:dyDescent="0.25">
      <c r="A221" s="165">
        <f t="shared" si="116"/>
        <v>41912</v>
      </c>
      <c r="B221" s="217"/>
      <c r="C221" s="212">
        <f>C193</f>
        <v>17.87</v>
      </c>
      <c r="D221" s="217"/>
      <c r="E221" s="213">
        <f>ROUND(D220/S221,2)</f>
        <v>1.97</v>
      </c>
      <c r="F221" s="217"/>
      <c r="G221" s="185">
        <f>G191</f>
        <v>0.57999999999999996</v>
      </c>
      <c r="H221" s="217"/>
      <c r="I221" s="218"/>
      <c r="J221" s="217"/>
      <c r="K221" s="185">
        <f>K191</f>
        <v>223.76</v>
      </c>
      <c r="L221" s="186">
        <f>L191</f>
        <v>223.85</v>
      </c>
      <c r="M221" s="186">
        <f>J220</f>
        <v>6133.3899999999994</v>
      </c>
      <c r="N221" s="186">
        <f>L221-K221</f>
        <v>9.0000000000003411E-2</v>
      </c>
      <c r="O221" s="187">
        <f>ROUND(P221/S221,2)</f>
        <v>223.85</v>
      </c>
      <c r="P221" s="187">
        <f>SUM(B222:B235)</f>
        <v>6133.3899999999994</v>
      </c>
      <c r="Q221" s="217"/>
      <c r="R221" s="218">
        <f>ROUND(Q220/S221,2)</f>
        <v>0.59</v>
      </c>
      <c r="S221" s="231">
        <v>27.4</v>
      </c>
    </row>
    <row r="222" spans="1:19" x14ac:dyDescent="0.25">
      <c r="A222" s="162">
        <f t="shared" si="116"/>
        <v>41932</v>
      </c>
      <c r="B222" s="198">
        <f>B192</f>
        <v>489.64</v>
      </c>
      <c r="C222" s="222"/>
      <c r="D222" s="198">
        <f>D192</f>
        <v>48.36</v>
      </c>
      <c r="E222" s="222"/>
      <c r="F222" s="198">
        <f>F192</f>
        <v>16</v>
      </c>
      <c r="G222" s="223"/>
      <c r="H222" s="198">
        <f t="shared" ref="H222" si="123">B222+D222</f>
        <v>538</v>
      </c>
      <c r="I222" s="223"/>
      <c r="J222" s="198">
        <f>J192</f>
        <v>5643.75</v>
      </c>
      <c r="K222" s="223"/>
      <c r="L222" s="178"/>
      <c r="M222" s="178"/>
      <c r="N222" s="178"/>
      <c r="O222" s="179"/>
      <c r="P222" s="179"/>
      <c r="Q222" s="198">
        <f>Q192</f>
        <v>16.25</v>
      </c>
      <c r="R222" s="223"/>
      <c r="S222" s="228">
        <v>27.431999999999999</v>
      </c>
    </row>
    <row r="223" spans="1:19" x14ac:dyDescent="0.25">
      <c r="A223" s="165">
        <f t="shared" si="116"/>
        <v>41943</v>
      </c>
      <c r="B223" s="217"/>
      <c r="C223" s="212">
        <f>C193</f>
        <v>17.87</v>
      </c>
      <c r="D223" s="217"/>
      <c r="E223" s="213">
        <f>ROUND(D222/S223,2)</f>
        <v>1.76</v>
      </c>
      <c r="F223" s="217"/>
      <c r="G223" s="185">
        <f>G193</f>
        <v>0.57999999999999996</v>
      </c>
      <c r="H223" s="217"/>
      <c r="I223" s="218"/>
      <c r="J223" s="217"/>
      <c r="K223" s="185">
        <f>K193</f>
        <v>205.98</v>
      </c>
      <c r="L223" s="186">
        <f>L193</f>
        <v>205.79</v>
      </c>
      <c r="M223" s="186">
        <f>J222</f>
        <v>5643.75</v>
      </c>
      <c r="N223" s="186">
        <f>L223-K223</f>
        <v>-0.18999999999999773</v>
      </c>
      <c r="O223" s="187">
        <f>ROUND(P223/S223,2)</f>
        <v>533.63</v>
      </c>
      <c r="P223" s="187">
        <f>SUM(B224:B237)</f>
        <v>14634.749999999998</v>
      </c>
      <c r="Q223" s="217"/>
      <c r="R223" s="218">
        <f>ROUND(Q222/S223,2)</f>
        <v>0.59</v>
      </c>
      <c r="S223" s="231">
        <v>27.425000000000001</v>
      </c>
    </row>
    <row r="224" spans="1:19" x14ac:dyDescent="0.25">
      <c r="A224" s="162">
        <f t="shared" si="116"/>
        <v>41963</v>
      </c>
      <c r="B224" s="198">
        <f>B194</f>
        <v>492.01</v>
      </c>
      <c r="C224" s="222"/>
      <c r="D224" s="198">
        <f>D194</f>
        <v>45.99</v>
      </c>
      <c r="E224" s="222"/>
      <c r="F224" s="198">
        <f>F194</f>
        <v>16</v>
      </c>
      <c r="G224" s="223"/>
      <c r="H224" s="198">
        <f t="shared" ref="H224:H235" si="124">B224+D224</f>
        <v>538</v>
      </c>
      <c r="I224" s="223"/>
      <c r="J224" s="198">
        <f>J194</f>
        <v>5151.74</v>
      </c>
      <c r="K224" s="175"/>
      <c r="L224" s="178"/>
      <c r="M224" s="178"/>
      <c r="N224" s="178"/>
      <c r="O224" s="179"/>
      <c r="P224" s="179"/>
      <c r="Q224" s="198">
        <f>Q194</f>
        <v>13.49</v>
      </c>
      <c r="R224" s="223"/>
      <c r="S224" s="228">
        <v>27.43</v>
      </c>
    </row>
    <row r="225" spans="1:19" ht="15.75" thickBot="1" x14ac:dyDescent="0.3">
      <c r="A225" s="163">
        <f>EOMONTH(A224,0)</f>
        <v>41973</v>
      </c>
      <c r="B225" s="215"/>
      <c r="C225" s="201">
        <f>ROUND(B224/S223,2)</f>
        <v>17.940000000000001</v>
      </c>
      <c r="D225" s="215"/>
      <c r="E225" s="201">
        <f>ROUND(D224/S225,2)</f>
        <v>1.68</v>
      </c>
      <c r="F225" s="215"/>
      <c r="G225" s="279">
        <f>ROUND(F224/S225,2)</f>
        <v>0.57999999999999996</v>
      </c>
      <c r="H225" s="215"/>
      <c r="I225" s="191"/>
      <c r="J225" s="215"/>
      <c r="K225" s="191">
        <f>ROUND(SUM(B226:B235)/S223,2)</f>
        <v>187.85</v>
      </c>
      <c r="L225" s="173">
        <f>ROUND(SUM(B226:B235)/S225,2)</f>
        <v>187.79</v>
      </c>
      <c r="M225" s="173">
        <f>J224</f>
        <v>5151.74</v>
      </c>
      <c r="N225" s="173">
        <f>L225-K225</f>
        <v>-6.0000000000002274E-2</v>
      </c>
      <c r="O225" s="174">
        <f>ROUND(P225/S225,2)</f>
        <v>515.54</v>
      </c>
      <c r="P225" s="174">
        <f>SUM(B226:B238)</f>
        <v>14142.739999999998</v>
      </c>
      <c r="Q225" s="215"/>
      <c r="R225" s="191">
        <f>ROUND(Q224/S225,2)</f>
        <v>0.49</v>
      </c>
      <c r="S225" s="229">
        <v>27.433</v>
      </c>
    </row>
    <row r="226" spans="1:19" ht="15.75" thickTop="1" x14ac:dyDescent="0.25">
      <c r="A226" s="162">
        <f>A195</f>
        <v>41993</v>
      </c>
      <c r="B226" s="216">
        <f>B195</f>
        <v>497.38</v>
      </c>
      <c r="C226" s="205"/>
      <c r="D226" s="216">
        <f>D195</f>
        <v>40.619999999999997</v>
      </c>
      <c r="E226" s="205"/>
      <c r="F226" s="216">
        <f>F195</f>
        <v>16</v>
      </c>
      <c r="G226" s="206"/>
      <c r="H226" s="198">
        <f t="shared" si="124"/>
        <v>538</v>
      </c>
      <c r="I226" s="206"/>
      <c r="J226" s="216">
        <f>J195</f>
        <v>4654.3599999999997</v>
      </c>
      <c r="K226" s="192"/>
      <c r="L226" s="178"/>
      <c r="M226" s="178"/>
      <c r="N226" s="178"/>
      <c r="O226" s="179"/>
      <c r="P226" s="179"/>
      <c r="Q226" s="216">
        <f>Q195</f>
        <v>13.4</v>
      </c>
      <c r="R226" s="206"/>
      <c r="S226" s="228"/>
    </row>
    <row r="227" spans="1:19" s="15" customFormat="1" x14ac:dyDescent="0.25">
      <c r="A227" s="162">
        <f>A196</f>
        <v>42024</v>
      </c>
      <c r="B227" s="216">
        <f>B196</f>
        <v>500.07</v>
      </c>
      <c r="C227" s="205"/>
      <c r="D227" s="216">
        <f>D196</f>
        <v>37.93</v>
      </c>
      <c r="E227" s="205"/>
      <c r="F227" s="216">
        <f>F196</f>
        <v>16</v>
      </c>
      <c r="G227" s="206"/>
      <c r="H227" s="198">
        <f t="shared" si="124"/>
        <v>538</v>
      </c>
      <c r="I227" s="206"/>
      <c r="J227" s="216">
        <f>J196</f>
        <v>4154.29</v>
      </c>
      <c r="K227" s="175"/>
      <c r="L227" s="178"/>
      <c r="M227" s="178"/>
      <c r="N227" s="178"/>
      <c r="O227" s="179"/>
      <c r="P227" s="179"/>
      <c r="Q227" s="216">
        <f>Q196</f>
        <v>11.96</v>
      </c>
      <c r="R227" s="206"/>
      <c r="S227" s="228"/>
    </row>
    <row r="228" spans="1:19" s="15" customFormat="1" x14ac:dyDescent="0.25">
      <c r="A228" s="160">
        <f t="shared" ref="A228:A235" si="125">EDATE(A227,1)</f>
        <v>42055</v>
      </c>
      <c r="B228" s="216">
        <f t="shared" ref="B228:D235" si="126">B197</f>
        <v>504.15</v>
      </c>
      <c r="C228" s="205"/>
      <c r="D228" s="216">
        <f t="shared" si="126"/>
        <v>33.85</v>
      </c>
      <c r="E228" s="205"/>
      <c r="F228" s="216">
        <f t="shared" ref="F228" si="127">F197</f>
        <v>16</v>
      </c>
      <c r="G228" s="206"/>
      <c r="H228" s="198">
        <f t="shared" si="124"/>
        <v>538</v>
      </c>
      <c r="I228" s="206"/>
      <c r="J228" s="216">
        <f t="shared" ref="J228" si="128">J197</f>
        <v>3650.1400000000003</v>
      </c>
      <c r="K228" s="175"/>
      <c r="L228" s="178"/>
      <c r="M228" s="178"/>
      <c r="N228" s="178"/>
      <c r="O228" s="179"/>
      <c r="P228" s="179"/>
      <c r="Q228" s="216">
        <f t="shared" ref="Q228" si="129">Q197</f>
        <v>7.65</v>
      </c>
      <c r="R228" s="206"/>
      <c r="S228" s="228"/>
    </row>
    <row r="229" spans="1:19" s="15" customFormat="1" x14ac:dyDescent="0.25">
      <c r="A229" s="160">
        <f t="shared" si="125"/>
        <v>42083</v>
      </c>
      <c r="B229" s="216">
        <f t="shared" si="126"/>
        <v>511.15</v>
      </c>
      <c r="C229" s="205"/>
      <c r="D229" s="216">
        <f t="shared" si="126"/>
        <v>26.85</v>
      </c>
      <c r="E229" s="205"/>
      <c r="F229" s="216">
        <f t="shared" ref="F229" si="130">F198</f>
        <v>16</v>
      </c>
      <c r="G229" s="206"/>
      <c r="H229" s="198">
        <f t="shared" si="124"/>
        <v>538</v>
      </c>
      <c r="I229" s="206"/>
      <c r="J229" s="216">
        <f t="shared" ref="J229" si="131">J198</f>
        <v>3138.9900000000002</v>
      </c>
      <c r="K229" s="175"/>
      <c r="L229" s="178"/>
      <c r="M229" s="178"/>
      <c r="N229" s="178"/>
      <c r="O229" s="179"/>
      <c r="P229" s="179"/>
      <c r="Q229" s="216">
        <f t="shared" ref="Q229" si="132">Q198</f>
        <v>9.0399999999999991</v>
      </c>
      <c r="R229" s="206"/>
      <c r="S229" s="228"/>
    </row>
    <row r="230" spans="1:19" s="15" customFormat="1" x14ac:dyDescent="0.25">
      <c r="A230" s="160">
        <f t="shared" si="125"/>
        <v>42114</v>
      </c>
      <c r="B230" s="216">
        <f t="shared" si="126"/>
        <v>512.41999999999996</v>
      </c>
      <c r="C230" s="205"/>
      <c r="D230" s="216">
        <f t="shared" si="126"/>
        <v>25.58</v>
      </c>
      <c r="E230" s="205"/>
      <c r="F230" s="216">
        <f t="shared" ref="F230" si="133">F199</f>
        <v>16</v>
      </c>
      <c r="G230" s="206"/>
      <c r="H230" s="198">
        <f t="shared" si="124"/>
        <v>538</v>
      </c>
      <c r="I230" s="206"/>
      <c r="J230" s="216">
        <f t="shared" ref="J230" si="134">J199</f>
        <v>2626.57</v>
      </c>
      <c r="K230" s="175"/>
      <c r="L230" s="178"/>
      <c r="M230" s="178"/>
      <c r="N230" s="178"/>
      <c r="O230" s="179"/>
      <c r="P230" s="179"/>
      <c r="Q230" s="216">
        <f t="shared" ref="Q230" si="135">Q199</f>
        <v>6.88</v>
      </c>
      <c r="R230" s="206"/>
      <c r="S230" s="228"/>
    </row>
    <row r="231" spans="1:19" s="15" customFormat="1" x14ac:dyDescent="0.25">
      <c r="A231" s="160">
        <f t="shared" si="125"/>
        <v>42144</v>
      </c>
      <c r="B231" s="216">
        <f t="shared" si="126"/>
        <v>517.29</v>
      </c>
      <c r="C231" s="205"/>
      <c r="D231" s="216">
        <f t="shared" si="126"/>
        <v>20.71</v>
      </c>
      <c r="E231" s="205"/>
      <c r="F231" s="216">
        <f t="shared" ref="F231" si="136">F200</f>
        <v>16</v>
      </c>
      <c r="G231" s="206"/>
      <c r="H231" s="198">
        <f t="shared" si="124"/>
        <v>538</v>
      </c>
      <c r="I231" s="206"/>
      <c r="J231" s="216">
        <f t="shared" ref="J231" si="137">J200</f>
        <v>2109.2800000000002</v>
      </c>
      <c r="K231" s="175"/>
      <c r="L231" s="178"/>
      <c r="M231" s="178"/>
      <c r="N231" s="178"/>
      <c r="O231" s="179"/>
      <c r="P231" s="179"/>
      <c r="Q231" s="216">
        <f t="shared" ref="Q231" si="138">Q200</f>
        <v>6.07</v>
      </c>
      <c r="R231" s="206"/>
      <c r="S231" s="228"/>
    </row>
    <row r="232" spans="1:19" x14ac:dyDescent="0.25">
      <c r="A232" s="160">
        <f t="shared" si="125"/>
        <v>42175</v>
      </c>
      <c r="B232" s="216">
        <f t="shared" si="126"/>
        <v>520.80999999999995</v>
      </c>
      <c r="C232" s="205"/>
      <c r="D232" s="216">
        <f t="shared" si="126"/>
        <v>17.190000000000001</v>
      </c>
      <c r="E232" s="205"/>
      <c r="F232" s="216">
        <f t="shared" ref="F232" si="139">F201</f>
        <v>16</v>
      </c>
      <c r="G232" s="206"/>
      <c r="H232" s="198">
        <f t="shared" si="124"/>
        <v>538</v>
      </c>
      <c r="I232" s="206"/>
      <c r="J232" s="216">
        <f t="shared" ref="J232" si="140">J201</f>
        <v>1588.4700000000003</v>
      </c>
      <c r="K232" s="192"/>
      <c r="L232" s="178"/>
      <c r="M232" s="178"/>
      <c r="N232" s="178"/>
      <c r="O232" s="179"/>
      <c r="P232" s="179"/>
      <c r="Q232" s="216">
        <f t="shared" ref="Q232" si="141">Q201</f>
        <v>4.16</v>
      </c>
      <c r="R232" s="206"/>
      <c r="S232" s="228"/>
    </row>
    <row r="233" spans="1:19" x14ac:dyDescent="0.25">
      <c r="A233" s="160">
        <f t="shared" si="125"/>
        <v>42205</v>
      </c>
      <c r="B233" s="216">
        <f t="shared" si="126"/>
        <v>525.48</v>
      </c>
      <c r="C233" s="205"/>
      <c r="D233" s="216">
        <f t="shared" si="126"/>
        <v>12.52</v>
      </c>
      <c r="E233" s="205"/>
      <c r="F233" s="216">
        <f t="shared" ref="F233" si="142">F202</f>
        <v>16</v>
      </c>
      <c r="G233" s="206"/>
      <c r="H233" s="198">
        <f t="shared" si="124"/>
        <v>538</v>
      </c>
      <c r="I233" s="206"/>
      <c r="J233" s="216">
        <f t="shared" ref="J233" si="143">J202</f>
        <v>1062.99</v>
      </c>
      <c r="K233" s="192"/>
      <c r="L233" s="178"/>
      <c r="M233" s="178"/>
      <c r="N233" s="178"/>
      <c r="O233" s="179"/>
      <c r="P233" s="179"/>
      <c r="Q233" s="216">
        <f t="shared" ref="Q233" si="144">Q202</f>
        <v>3.06</v>
      </c>
      <c r="R233" s="206"/>
      <c r="S233" s="228"/>
    </row>
    <row r="234" spans="1:19" x14ac:dyDescent="0.25">
      <c r="A234" s="160">
        <f t="shared" si="125"/>
        <v>42236</v>
      </c>
      <c r="B234" s="216">
        <f t="shared" si="126"/>
        <v>529.34</v>
      </c>
      <c r="C234" s="205"/>
      <c r="D234" s="216">
        <f t="shared" si="126"/>
        <v>8.66</v>
      </c>
      <c r="E234" s="205"/>
      <c r="F234" s="216">
        <f t="shared" ref="F234" si="145">F203</f>
        <v>16</v>
      </c>
      <c r="G234" s="206"/>
      <c r="H234" s="198">
        <f t="shared" si="124"/>
        <v>538</v>
      </c>
      <c r="I234" s="206"/>
      <c r="J234" s="216">
        <f t="shared" ref="J234" si="146">J203</f>
        <v>533.65</v>
      </c>
      <c r="K234" s="192"/>
      <c r="L234" s="178"/>
      <c r="M234" s="178"/>
      <c r="N234" s="178"/>
      <c r="O234" s="179"/>
      <c r="P234" s="179"/>
      <c r="Q234" s="216">
        <f t="shared" ref="Q234" si="147">Q203</f>
        <v>1.54</v>
      </c>
      <c r="R234" s="206"/>
      <c r="S234" s="228"/>
    </row>
    <row r="235" spans="1:19" ht="15.75" thickBot="1" x14ac:dyDescent="0.3">
      <c r="A235" s="160">
        <f t="shared" si="125"/>
        <v>42267</v>
      </c>
      <c r="B235" s="216">
        <f t="shared" si="126"/>
        <v>533.65</v>
      </c>
      <c r="C235" s="205"/>
      <c r="D235" s="216">
        <f t="shared" si="126"/>
        <v>4.3499999999999996</v>
      </c>
      <c r="E235" s="205"/>
      <c r="F235" s="216">
        <f t="shared" ref="F235" si="148">F204</f>
        <v>16</v>
      </c>
      <c r="G235" s="206"/>
      <c r="H235" s="198">
        <f t="shared" si="124"/>
        <v>538</v>
      </c>
      <c r="I235" s="206"/>
      <c r="J235" s="216">
        <f t="shared" ref="J235" si="149">J204</f>
        <v>0</v>
      </c>
      <c r="K235" s="192"/>
      <c r="L235" s="178"/>
      <c r="M235" s="178"/>
      <c r="N235" s="178"/>
      <c r="O235" s="179"/>
      <c r="P235" s="179"/>
      <c r="Q235" s="216">
        <f t="shared" ref="Q235" si="150">Q204</f>
        <v>0</v>
      </c>
      <c r="R235" s="206"/>
      <c r="S235" s="228"/>
    </row>
    <row r="236" spans="1:19" ht="15.75" thickBot="1" x14ac:dyDescent="0.3">
      <c r="A236" s="164"/>
      <c r="B236" s="207">
        <f>SUM(B208:B235)</f>
        <v>8990.9999999999982</v>
      </c>
      <c r="C236" s="208"/>
      <c r="D236" s="207">
        <f>SUM(D208:D235)</f>
        <v>693.00000000000023</v>
      </c>
      <c r="E236" s="208"/>
      <c r="F236" s="207">
        <f>SUM(F208:F235)</f>
        <v>288</v>
      </c>
      <c r="G236" s="209"/>
      <c r="H236" s="207">
        <f>SUM(H208:H235)</f>
        <v>9684</v>
      </c>
      <c r="I236" s="209"/>
      <c r="J236" s="207">
        <f>SUM(J208:J235)</f>
        <v>87297.09</v>
      </c>
      <c r="K236" s="209"/>
      <c r="L236" s="180"/>
      <c r="M236" s="180"/>
      <c r="N236" s="181">
        <f>SUM(N209:N220)</f>
        <v>0.52000000000003865</v>
      </c>
      <c r="O236" s="182"/>
      <c r="P236" s="182"/>
      <c r="Q236" s="207">
        <f>SUM(Q208:Q235)</f>
        <v>233.22</v>
      </c>
      <c r="R236" s="210"/>
      <c r="S236" s="227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1"/>
  <sheetViews>
    <sheetView tabSelected="1" workbookViewId="0">
      <pane ySplit="1" topLeftCell="A5" activePane="bottomLeft" state="frozen"/>
      <selection pane="bottomLeft" activeCell="M12" sqref="M12"/>
    </sheetView>
  </sheetViews>
  <sheetFormatPr defaultRowHeight="15" x14ac:dyDescent="0.25"/>
  <cols>
    <col min="2" max="2" width="9.85546875" customWidth="1"/>
    <col min="3" max="3" width="11.140625" customWidth="1"/>
    <col min="4" max="4" width="4.7109375" customWidth="1"/>
    <col min="9" max="9" width="5" customWidth="1"/>
  </cols>
  <sheetData>
    <row r="1" spans="1:11" x14ac:dyDescent="0.25">
      <c r="A1" s="285" t="s">
        <v>118</v>
      </c>
      <c r="B1" s="285" t="s">
        <v>119</v>
      </c>
      <c r="C1" s="285" t="s">
        <v>120</v>
      </c>
      <c r="D1" s="285" t="s">
        <v>121</v>
      </c>
      <c r="E1" s="285" t="s">
        <v>122</v>
      </c>
      <c r="F1" t="s">
        <v>137</v>
      </c>
      <c r="G1" s="285" t="s">
        <v>123</v>
      </c>
      <c r="H1" s="285" t="s">
        <v>125</v>
      </c>
      <c r="I1" s="285" t="s">
        <v>136</v>
      </c>
      <c r="K1" t="s">
        <v>124</v>
      </c>
    </row>
    <row r="2" spans="1:11" ht="15.75" thickBot="1" x14ac:dyDescent="0.3">
      <c r="A2" s="290">
        <v>1</v>
      </c>
      <c r="B2" s="290">
        <v>663</v>
      </c>
      <c r="C2" s="291">
        <v>41729</v>
      </c>
      <c r="D2" s="290" t="s">
        <v>129</v>
      </c>
      <c r="E2" s="301">
        <f>ROUND(F2/K2,2)</f>
        <v>0.72</v>
      </c>
      <c r="F2" s="282">
        <v>18.829999999999998</v>
      </c>
      <c r="G2" s="290">
        <v>1</v>
      </c>
      <c r="H2" s="290" t="s">
        <v>135</v>
      </c>
      <c r="I2" s="290">
        <v>2191</v>
      </c>
      <c r="J2" s="281"/>
      <c r="K2" s="281">
        <v>26.123000000000001</v>
      </c>
    </row>
    <row r="3" spans="1:11" x14ac:dyDescent="0.25">
      <c r="A3" s="285">
        <f>A2+1</f>
        <v>2</v>
      </c>
      <c r="B3" s="285">
        <v>663</v>
      </c>
      <c r="C3" s="286">
        <v>41759</v>
      </c>
      <c r="D3" s="285" t="s">
        <v>129</v>
      </c>
      <c r="E3" s="287">
        <f>ROUND(F3/K3,2)</f>
        <v>0.83</v>
      </c>
      <c r="F3" s="280">
        <v>22.31</v>
      </c>
      <c r="G3" s="285">
        <v>4</v>
      </c>
      <c r="H3" s="285" t="s">
        <v>135</v>
      </c>
      <c r="I3" s="285">
        <v>2192</v>
      </c>
      <c r="K3">
        <v>26.789000000000001</v>
      </c>
    </row>
    <row r="4" spans="1:11" x14ac:dyDescent="0.25">
      <c r="A4" s="285">
        <f t="shared" ref="A4:A8" si="0">A3+1</f>
        <v>3</v>
      </c>
      <c r="B4" s="285">
        <v>663</v>
      </c>
      <c r="C4" s="286">
        <v>41729</v>
      </c>
      <c r="D4" s="285" t="s">
        <v>127</v>
      </c>
      <c r="E4" s="287">
        <f>ROUND(F4/K4,2)</f>
        <v>17.91</v>
      </c>
      <c r="F4" s="280">
        <v>471.85</v>
      </c>
      <c r="G4" s="285">
        <v>2</v>
      </c>
      <c r="H4" s="285" t="s">
        <v>135</v>
      </c>
      <c r="I4" s="285">
        <v>2192</v>
      </c>
      <c r="K4">
        <v>26.344999999999999</v>
      </c>
    </row>
    <row r="5" spans="1:11" x14ac:dyDescent="0.25">
      <c r="A5" s="285">
        <f t="shared" si="0"/>
        <v>4</v>
      </c>
      <c r="B5" s="285">
        <v>663</v>
      </c>
      <c r="C5" s="286">
        <v>41749</v>
      </c>
      <c r="D5" s="285" t="s">
        <v>126</v>
      </c>
      <c r="E5" s="287">
        <f>ROUND(F5/K5,2)</f>
        <v>2.4900000000000002</v>
      </c>
      <c r="F5" s="280">
        <v>66.150000000000006</v>
      </c>
      <c r="G5" s="285">
        <v>3</v>
      </c>
      <c r="H5" s="285" t="s">
        <v>135</v>
      </c>
      <c r="I5" s="285">
        <v>2192</v>
      </c>
      <c r="K5">
        <v>26.567</v>
      </c>
    </row>
    <row r="6" spans="1:11" x14ac:dyDescent="0.25">
      <c r="A6" s="285">
        <f t="shared" si="0"/>
        <v>5</v>
      </c>
      <c r="B6" s="285">
        <v>663</v>
      </c>
      <c r="C6" s="286">
        <v>41749</v>
      </c>
      <c r="D6" s="285" t="s">
        <v>128</v>
      </c>
      <c r="E6" s="287">
        <f>ROUND(F6/K6,2)</f>
        <v>0.6</v>
      </c>
      <c r="F6" s="280">
        <v>16</v>
      </c>
      <c r="G6" s="285">
        <f>G5</f>
        <v>3</v>
      </c>
      <c r="H6" s="285" t="s">
        <v>135</v>
      </c>
      <c r="I6" s="285">
        <v>2673</v>
      </c>
      <c r="K6">
        <f>K5</f>
        <v>26.567</v>
      </c>
    </row>
    <row r="7" spans="1:11" x14ac:dyDescent="0.25">
      <c r="A7" s="285">
        <f t="shared" si="0"/>
        <v>6</v>
      </c>
      <c r="B7" s="285">
        <v>663</v>
      </c>
      <c r="C7" s="286">
        <v>41749</v>
      </c>
      <c r="D7" s="285" t="s">
        <v>133</v>
      </c>
      <c r="E7" s="287">
        <f>ROUND(F7/K7,2)</f>
        <v>20.85</v>
      </c>
      <c r="F7" s="280">
        <f>F4+F5+F6</f>
        <v>554</v>
      </c>
      <c r="G7" s="285">
        <v>3</v>
      </c>
      <c r="H7" s="285" t="s">
        <v>135</v>
      </c>
      <c r="I7" s="285">
        <v>2673</v>
      </c>
      <c r="K7">
        <v>26.567</v>
      </c>
    </row>
    <row r="8" spans="1:11" x14ac:dyDescent="0.25">
      <c r="A8" s="285">
        <f t="shared" si="0"/>
        <v>7</v>
      </c>
      <c r="B8" s="285">
        <v>663</v>
      </c>
      <c r="C8" s="286">
        <v>41745</v>
      </c>
      <c r="D8" s="285" t="s">
        <v>130</v>
      </c>
      <c r="E8" s="287">
        <f>ROUND(F8/K8,2)</f>
        <v>19.86</v>
      </c>
      <c r="F8" s="280">
        <v>554</v>
      </c>
      <c r="G8" s="285">
        <v>5</v>
      </c>
      <c r="H8" s="285" t="s">
        <v>135</v>
      </c>
      <c r="I8" s="285">
        <v>661</v>
      </c>
      <c r="K8">
        <v>27.901</v>
      </c>
    </row>
    <row r="9" spans="1:11" x14ac:dyDescent="0.25">
      <c r="A9" s="285">
        <f t="shared" ref="A9:A61" si="1">A8+1</f>
        <v>8</v>
      </c>
      <c r="B9" s="285">
        <v>663</v>
      </c>
      <c r="C9" s="286">
        <v>41759</v>
      </c>
      <c r="D9" s="288" t="s">
        <v>139</v>
      </c>
      <c r="E9" s="289">
        <f>E11-E10</f>
        <v>-1.1399999999999999</v>
      </c>
      <c r="F9" s="280"/>
      <c r="G9" s="285"/>
      <c r="H9" s="285" t="s">
        <v>135</v>
      </c>
      <c r="I9" s="285"/>
    </row>
    <row r="10" spans="1:11" x14ac:dyDescent="0.25">
      <c r="A10" s="285">
        <f>A8+1</f>
        <v>8</v>
      </c>
      <c r="B10" s="297">
        <v>663</v>
      </c>
      <c r="C10" s="298">
        <v>41759</v>
      </c>
      <c r="D10" s="295" t="s">
        <v>131</v>
      </c>
      <c r="E10" s="299">
        <f>ROUND(F8/K10-E8,2)</f>
        <v>0.82</v>
      </c>
      <c r="F10" s="300"/>
      <c r="G10" s="297">
        <v>4</v>
      </c>
      <c r="H10" s="285" t="s">
        <v>135</v>
      </c>
      <c r="I10" s="297"/>
      <c r="J10" s="37"/>
      <c r="K10" s="37">
        <v>26.789000000000001</v>
      </c>
    </row>
    <row r="11" spans="1:11" ht="15.75" thickBot="1" x14ac:dyDescent="0.3">
      <c r="A11" s="290">
        <f t="shared" si="1"/>
        <v>9</v>
      </c>
      <c r="B11" s="290">
        <v>663</v>
      </c>
      <c r="C11" s="291">
        <v>41759</v>
      </c>
      <c r="D11" s="292" t="s">
        <v>132</v>
      </c>
      <c r="E11" s="293">
        <f>ROUND((F4+F5+F6)/K11-(E4+E5+E6),2)</f>
        <v>-0.32</v>
      </c>
      <c r="F11" s="282"/>
      <c r="G11" s="290">
        <v>4</v>
      </c>
      <c r="H11" s="290"/>
      <c r="I11" s="290"/>
      <c r="J11" s="281"/>
      <c r="K11" s="281">
        <v>26.789000000000001</v>
      </c>
    </row>
    <row r="12" spans="1:11" x14ac:dyDescent="0.25">
      <c r="A12" s="285">
        <f t="shared" si="1"/>
        <v>10</v>
      </c>
      <c r="B12" s="285">
        <v>663</v>
      </c>
      <c r="C12" s="286">
        <v>41790</v>
      </c>
      <c r="D12" s="285" t="s">
        <v>129</v>
      </c>
      <c r="E12" s="287">
        <f>ROUND(F12/K12,2)</f>
        <v>0.85</v>
      </c>
      <c r="F12" s="280">
        <v>23.18</v>
      </c>
      <c r="G12" s="285">
        <v>6</v>
      </c>
      <c r="H12" s="285"/>
      <c r="I12" s="285">
        <v>2193</v>
      </c>
      <c r="K12">
        <v>27.123000000000001</v>
      </c>
    </row>
    <row r="13" spans="1:11" x14ac:dyDescent="0.25">
      <c r="A13" s="285">
        <f t="shared" si="1"/>
        <v>11</v>
      </c>
      <c r="B13" s="285">
        <v>663</v>
      </c>
      <c r="C13" s="286">
        <v>41759</v>
      </c>
      <c r="D13" s="285" t="s">
        <v>127</v>
      </c>
      <c r="E13" s="287">
        <f>ROUND(F13/K13,2)</f>
        <v>17.579999999999998</v>
      </c>
      <c r="F13" s="280">
        <v>470.83</v>
      </c>
      <c r="G13" s="285">
        <v>4</v>
      </c>
      <c r="H13" s="285"/>
      <c r="I13" s="285">
        <v>2193</v>
      </c>
      <c r="K13">
        <v>26.789000000000001</v>
      </c>
    </row>
    <row r="14" spans="1:11" x14ac:dyDescent="0.25">
      <c r="A14" s="285">
        <f t="shared" si="1"/>
        <v>12</v>
      </c>
      <c r="B14" s="285">
        <v>663</v>
      </c>
      <c r="C14" s="286">
        <v>41779</v>
      </c>
      <c r="D14" s="285" t="s">
        <v>126</v>
      </c>
      <c r="E14" s="287">
        <f>ROUND(F14/K14,2)</f>
        <v>2.46</v>
      </c>
      <c r="F14" s="280">
        <v>67.17</v>
      </c>
      <c r="G14" s="285">
        <v>7</v>
      </c>
      <c r="H14" s="285"/>
      <c r="I14" s="285">
        <v>2193</v>
      </c>
      <c r="K14">
        <v>27.344999999999999</v>
      </c>
    </row>
    <row r="15" spans="1:11" x14ac:dyDescent="0.25">
      <c r="A15" s="285">
        <f t="shared" si="1"/>
        <v>13</v>
      </c>
      <c r="B15" s="285">
        <v>663</v>
      </c>
      <c r="C15" s="286">
        <v>41779</v>
      </c>
      <c r="D15" s="285" t="s">
        <v>128</v>
      </c>
      <c r="E15" s="287">
        <f>ROUND(F15/K15,2)</f>
        <v>0.59</v>
      </c>
      <c r="F15" s="280">
        <v>16</v>
      </c>
      <c r="G15" s="285">
        <v>7</v>
      </c>
      <c r="H15" s="285"/>
      <c r="I15" s="285">
        <v>2674</v>
      </c>
      <c r="K15">
        <v>27.344999999999999</v>
      </c>
    </row>
    <row r="16" spans="1:11" x14ac:dyDescent="0.25">
      <c r="A16" s="285">
        <f t="shared" si="1"/>
        <v>14</v>
      </c>
      <c r="B16" s="285">
        <v>663</v>
      </c>
      <c r="C16" s="286">
        <v>41779</v>
      </c>
      <c r="D16" s="285" t="s">
        <v>133</v>
      </c>
      <c r="E16" s="287">
        <f>ROUND(F16/K16,2)</f>
        <v>20.260000000000002</v>
      </c>
      <c r="F16" s="280">
        <f>F13+F14+F15</f>
        <v>554</v>
      </c>
      <c r="G16" s="285">
        <v>7</v>
      </c>
      <c r="H16" s="285"/>
      <c r="I16" s="285">
        <v>2674</v>
      </c>
      <c r="K16">
        <v>27.344999999999999</v>
      </c>
    </row>
    <row r="17" spans="1:11" x14ac:dyDescent="0.25">
      <c r="A17" s="285">
        <f t="shared" si="1"/>
        <v>15</v>
      </c>
      <c r="B17" s="285">
        <v>663</v>
      </c>
      <c r="C17" s="286">
        <v>41774</v>
      </c>
      <c r="D17" s="285" t="s">
        <v>130</v>
      </c>
      <c r="E17" s="287">
        <f>ROUND(F17/K17,2)</f>
        <v>14.51</v>
      </c>
      <c r="F17" s="280">
        <v>400</v>
      </c>
      <c r="G17" s="285">
        <v>8</v>
      </c>
      <c r="H17" s="285"/>
      <c r="I17" s="285">
        <v>1192</v>
      </c>
      <c r="K17">
        <v>27.567</v>
      </c>
    </row>
    <row r="18" spans="1:11" x14ac:dyDescent="0.25">
      <c r="A18" s="285">
        <f t="shared" si="1"/>
        <v>16</v>
      </c>
      <c r="B18" s="285">
        <v>663</v>
      </c>
      <c r="C18" s="286">
        <v>41790</v>
      </c>
      <c r="D18" s="288" t="s">
        <v>134</v>
      </c>
      <c r="E18" s="289">
        <f>ROUND(F18/K18,2)</f>
        <v>5.68</v>
      </c>
      <c r="F18" s="280">
        <f>F13+F14+F15-F17</f>
        <v>154</v>
      </c>
      <c r="G18" s="285">
        <v>6</v>
      </c>
      <c r="H18" s="285"/>
      <c r="I18" s="285"/>
      <c r="K18">
        <v>27.123000000000001</v>
      </c>
    </row>
    <row r="19" spans="1:11" x14ac:dyDescent="0.25">
      <c r="A19" s="285">
        <f t="shared" si="1"/>
        <v>17</v>
      </c>
      <c r="B19" s="285">
        <v>663</v>
      </c>
      <c r="C19" s="286">
        <v>41790</v>
      </c>
      <c r="D19" s="288" t="s">
        <v>139</v>
      </c>
      <c r="E19" s="289">
        <f>E21-E20</f>
        <v>-0.44</v>
      </c>
      <c r="F19" s="280"/>
      <c r="G19" s="285"/>
      <c r="H19" s="285"/>
      <c r="I19" s="285"/>
    </row>
    <row r="20" spans="1:11" x14ac:dyDescent="0.25">
      <c r="A20" s="285">
        <f>A19+1</f>
        <v>18</v>
      </c>
      <c r="B20" s="285">
        <v>663</v>
      </c>
      <c r="C20" s="286">
        <v>41790</v>
      </c>
      <c r="D20" s="288" t="s">
        <v>131</v>
      </c>
      <c r="E20" s="299">
        <f>ROUND(F17/K20-E17,2)</f>
        <v>0.24</v>
      </c>
      <c r="F20" s="280"/>
      <c r="G20" s="285">
        <v>6</v>
      </c>
      <c r="H20" s="285"/>
      <c r="I20" s="285"/>
      <c r="K20">
        <v>27.123000000000001</v>
      </c>
    </row>
    <row r="21" spans="1:11" ht="15.75" thickBot="1" x14ac:dyDescent="0.3">
      <c r="A21" s="290">
        <f>A20+1</f>
        <v>19</v>
      </c>
      <c r="B21" s="290">
        <v>663</v>
      </c>
      <c r="C21" s="291">
        <v>41790</v>
      </c>
      <c r="D21" s="292" t="s">
        <v>132</v>
      </c>
      <c r="E21" s="293">
        <f>ROUND((F13+F14+F15)/K21-(E13+E14+E15),2)</f>
        <v>-0.2</v>
      </c>
      <c r="F21" s="282"/>
      <c r="G21" s="290">
        <v>6</v>
      </c>
      <c r="H21" s="290"/>
      <c r="I21" s="290"/>
      <c r="J21" s="281"/>
      <c r="K21" s="281">
        <v>27.123000000000001</v>
      </c>
    </row>
    <row r="22" spans="1:11" x14ac:dyDescent="0.25">
      <c r="A22" s="285">
        <f t="shared" si="1"/>
        <v>20</v>
      </c>
      <c r="B22" s="285">
        <v>663</v>
      </c>
      <c r="C22" s="286">
        <v>41820</v>
      </c>
      <c r="D22" s="285" t="s">
        <v>129</v>
      </c>
      <c r="E22" s="287">
        <f>ROUND(F22/K22,2)</f>
        <v>0.73</v>
      </c>
      <c r="F22" s="280">
        <v>19.84</v>
      </c>
      <c r="G22" s="294">
        <v>9</v>
      </c>
      <c r="H22" s="294"/>
      <c r="I22" s="285">
        <v>2194</v>
      </c>
      <c r="K22" s="283">
        <v>27.344999999999999</v>
      </c>
    </row>
    <row r="23" spans="1:11" x14ac:dyDescent="0.25">
      <c r="A23" s="285">
        <f t="shared" si="1"/>
        <v>21</v>
      </c>
      <c r="B23" s="285">
        <v>663</v>
      </c>
      <c r="C23" s="286">
        <v>41790</v>
      </c>
      <c r="D23" s="285" t="s">
        <v>127</v>
      </c>
      <c r="E23" s="287">
        <f>ROUND(F23/K23,2)</f>
        <v>17.420000000000002</v>
      </c>
      <c r="F23" s="280">
        <v>472.42</v>
      </c>
      <c r="G23" s="285">
        <v>6</v>
      </c>
      <c r="H23" s="294"/>
      <c r="I23" s="285">
        <v>2194</v>
      </c>
      <c r="K23" s="283">
        <v>27.123000000000001</v>
      </c>
    </row>
    <row r="24" spans="1:11" x14ac:dyDescent="0.25">
      <c r="A24" s="285">
        <f t="shared" si="1"/>
        <v>22</v>
      </c>
      <c r="B24" s="285">
        <v>663</v>
      </c>
      <c r="C24" s="286">
        <v>41810</v>
      </c>
      <c r="D24" s="285" t="s">
        <v>126</v>
      </c>
      <c r="E24" s="287">
        <f>ROUND(F24/K24,2)</f>
        <v>2.41</v>
      </c>
      <c r="F24" s="280">
        <v>65.58</v>
      </c>
      <c r="G24" s="285">
        <v>10</v>
      </c>
      <c r="H24" s="294"/>
      <c r="I24" s="285">
        <v>2194</v>
      </c>
      <c r="K24" s="283">
        <v>27.234000000000002</v>
      </c>
    </row>
    <row r="25" spans="1:11" x14ac:dyDescent="0.25">
      <c r="A25" s="285">
        <f t="shared" si="1"/>
        <v>23</v>
      </c>
      <c r="B25" s="285">
        <v>663</v>
      </c>
      <c r="C25" s="286">
        <v>41810</v>
      </c>
      <c r="D25" s="285" t="s">
        <v>128</v>
      </c>
      <c r="E25" s="287">
        <f>ROUND(F25/K25,2)</f>
        <v>0.59</v>
      </c>
      <c r="F25" s="280">
        <v>16</v>
      </c>
      <c r="G25" s="285">
        <v>10</v>
      </c>
      <c r="H25" s="294"/>
      <c r="I25" s="285">
        <v>2675</v>
      </c>
      <c r="K25" s="283">
        <v>27.234000000000002</v>
      </c>
    </row>
    <row r="26" spans="1:11" x14ac:dyDescent="0.25">
      <c r="A26" s="285">
        <f t="shared" si="1"/>
        <v>24</v>
      </c>
      <c r="B26" s="285">
        <v>663</v>
      </c>
      <c r="C26" s="286">
        <v>41810</v>
      </c>
      <c r="D26" s="285" t="s">
        <v>133</v>
      </c>
      <c r="E26" s="287">
        <f>ROUND(F26/K26,2)</f>
        <v>20.34</v>
      </c>
      <c r="F26" s="280">
        <f>F23+F24+F25</f>
        <v>554</v>
      </c>
      <c r="G26" s="285">
        <v>10</v>
      </c>
      <c r="H26" s="294"/>
      <c r="I26" s="285">
        <v>2675</v>
      </c>
      <c r="K26" s="283">
        <v>27.234000000000002</v>
      </c>
    </row>
    <row r="27" spans="1:11" x14ac:dyDescent="0.25">
      <c r="A27" s="285">
        <f t="shared" si="1"/>
        <v>25</v>
      </c>
      <c r="B27" s="285">
        <v>663</v>
      </c>
      <c r="C27" s="286">
        <v>41776</v>
      </c>
      <c r="D27" s="285" t="s">
        <v>130</v>
      </c>
      <c r="E27" s="287">
        <f>ROUND(F27/K27,2)</f>
        <v>21.85</v>
      </c>
      <c r="F27" s="280">
        <v>600</v>
      </c>
      <c r="G27" s="285">
        <v>11</v>
      </c>
      <c r="H27" s="294"/>
      <c r="I27" s="285">
        <v>2337</v>
      </c>
      <c r="K27" s="283">
        <v>27.456</v>
      </c>
    </row>
    <row r="28" spans="1:11" x14ac:dyDescent="0.25">
      <c r="A28" s="285">
        <f t="shared" si="1"/>
        <v>26</v>
      </c>
      <c r="B28" s="285">
        <v>663</v>
      </c>
      <c r="C28" s="286">
        <v>41820</v>
      </c>
      <c r="D28" s="288" t="s">
        <v>134</v>
      </c>
      <c r="E28" s="289">
        <f>ROUND(F28/K28,2)</f>
        <v>3.95</v>
      </c>
      <c r="F28" s="280">
        <f>F18+F23+F24+F25-F27</f>
        <v>108.00000000000011</v>
      </c>
      <c r="G28" s="285">
        <v>9</v>
      </c>
      <c r="H28" s="294"/>
      <c r="I28" s="285"/>
      <c r="K28" s="283">
        <v>27.344999999999999</v>
      </c>
    </row>
    <row r="29" spans="1:11" x14ac:dyDescent="0.25">
      <c r="A29" s="285">
        <f t="shared" si="1"/>
        <v>27</v>
      </c>
      <c r="B29" s="285">
        <v>663</v>
      </c>
      <c r="C29" s="286">
        <v>41820</v>
      </c>
      <c r="D29" s="288" t="s">
        <v>139</v>
      </c>
      <c r="E29" s="289">
        <f>E31-E30</f>
        <v>-0.3</v>
      </c>
      <c r="F29" s="280"/>
      <c r="G29" s="285"/>
      <c r="H29" s="294"/>
      <c r="I29" s="285"/>
      <c r="K29" s="283">
        <v>27.344999999999999</v>
      </c>
    </row>
    <row r="30" spans="1:11" x14ac:dyDescent="0.25">
      <c r="A30" s="285">
        <f t="shared" si="1"/>
        <v>28</v>
      </c>
      <c r="B30" s="285">
        <v>663</v>
      </c>
      <c r="C30" s="286">
        <v>41820</v>
      </c>
      <c r="D30" s="288" t="s">
        <v>131</v>
      </c>
      <c r="E30" s="299">
        <f>ROUND(F27/K30-E27,2)</f>
        <v>0.09</v>
      </c>
      <c r="F30" s="280"/>
      <c r="G30" s="285">
        <v>9</v>
      </c>
      <c r="H30" s="294"/>
      <c r="I30" s="285"/>
      <c r="K30" s="283">
        <v>27.344999999999999</v>
      </c>
    </row>
    <row r="31" spans="1:11" ht="15.75" thickBot="1" x14ac:dyDescent="0.3">
      <c r="A31" s="290">
        <f t="shared" si="1"/>
        <v>29</v>
      </c>
      <c r="B31" s="290">
        <v>663</v>
      </c>
      <c r="C31" s="291">
        <v>41820</v>
      </c>
      <c r="D31" s="292" t="s">
        <v>132</v>
      </c>
      <c r="E31" s="293">
        <f>ROUND((F23+F24+F25+F18)/K31-(E23+E24+E25+E18),2)</f>
        <v>-0.21</v>
      </c>
      <c r="F31" s="282"/>
      <c r="G31" s="290">
        <v>9</v>
      </c>
      <c r="H31" s="290"/>
      <c r="I31" s="290"/>
      <c r="J31" s="281"/>
      <c r="K31" s="281">
        <v>27.344999999999999</v>
      </c>
    </row>
    <row r="32" spans="1:11" x14ac:dyDescent="0.25">
      <c r="A32" s="285">
        <f t="shared" si="1"/>
        <v>30</v>
      </c>
      <c r="B32" s="285">
        <v>663</v>
      </c>
      <c r="C32" s="286">
        <v>41851</v>
      </c>
      <c r="D32" s="294" t="s">
        <v>129</v>
      </c>
      <c r="E32" s="287">
        <f>ROUND(F32/K32,2)</f>
        <v>0.75</v>
      </c>
      <c r="F32" s="280">
        <v>20.440000000000001</v>
      </c>
      <c r="G32" s="294">
        <v>12</v>
      </c>
      <c r="H32" s="294"/>
      <c r="I32" s="285">
        <v>2195</v>
      </c>
      <c r="K32" s="283">
        <v>27.123000000000001</v>
      </c>
    </row>
    <row r="33" spans="1:11" x14ac:dyDescent="0.25">
      <c r="A33" s="285">
        <f t="shared" si="1"/>
        <v>31</v>
      </c>
      <c r="B33" s="285">
        <v>663</v>
      </c>
      <c r="C33" s="286">
        <v>41820</v>
      </c>
      <c r="D33" s="294" t="s">
        <v>127</v>
      </c>
      <c r="E33" s="287">
        <f>ROUND(F33/K33,2)</f>
        <v>17.489999999999998</v>
      </c>
      <c r="F33" s="280">
        <v>478.27</v>
      </c>
      <c r="G33" s="294">
        <v>9</v>
      </c>
      <c r="H33" s="294"/>
      <c r="I33" s="285">
        <f>I32</f>
        <v>2195</v>
      </c>
      <c r="K33" s="283">
        <v>27.344999999999999</v>
      </c>
    </row>
    <row r="34" spans="1:11" x14ac:dyDescent="0.25">
      <c r="A34" s="285">
        <f t="shared" si="1"/>
        <v>32</v>
      </c>
      <c r="B34" s="285">
        <v>663</v>
      </c>
      <c r="C34" s="286">
        <v>41840</v>
      </c>
      <c r="D34" s="294" t="s">
        <v>126</v>
      </c>
      <c r="E34" s="287">
        <f>ROUND(F34/K34,2)</f>
        <v>2.19</v>
      </c>
      <c r="F34" s="280">
        <v>59.73</v>
      </c>
      <c r="G34" s="294">
        <v>13</v>
      </c>
      <c r="H34" s="294"/>
      <c r="I34" s="285">
        <f>I33</f>
        <v>2195</v>
      </c>
      <c r="K34" s="283">
        <v>27.234000000000002</v>
      </c>
    </row>
    <row r="35" spans="1:11" x14ac:dyDescent="0.25">
      <c r="A35" s="285">
        <f t="shared" si="1"/>
        <v>33</v>
      </c>
      <c r="B35" s="285">
        <v>663</v>
      </c>
      <c r="C35" s="286">
        <v>41840</v>
      </c>
      <c r="D35" s="294" t="s">
        <v>128</v>
      </c>
      <c r="E35" s="287">
        <f>ROUND(F35/K35,2)</f>
        <v>0.59</v>
      </c>
      <c r="F35" s="280">
        <v>16</v>
      </c>
      <c r="G35" s="294">
        <v>13</v>
      </c>
      <c r="H35" s="294"/>
      <c r="I35" s="285">
        <v>2676</v>
      </c>
      <c r="K35" s="283">
        <v>27.234000000000002</v>
      </c>
    </row>
    <row r="36" spans="1:11" x14ac:dyDescent="0.25">
      <c r="A36" s="285">
        <f t="shared" si="1"/>
        <v>34</v>
      </c>
      <c r="B36" s="285">
        <v>663</v>
      </c>
      <c r="C36" s="286">
        <v>41840</v>
      </c>
      <c r="D36" s="285" t="s">
        <v>133</v>
      </c>
      <c r="E36" s="287">
        <f>ROUND(F36/K36,2)</f>
        <v>20.34</v>
      </c>
      <c r="F36" s="280">
        <f>F33+F34+F35</f>
        <v>554</v>
      </c>
      <c r="G36" s="294">
        <v>13</v>
      </c>
      <c r="H36" s="294"/>
      <c r="I36" s="285">
        <v>2676</v>
      </c>
      <c r="K36" s="283">
        <v>27.234000000000002</v>
      </c>
    </row>
    <row r="37" spans="1:11" x14ac:dyDescent="0.25">
      <c r="A37" s="285">
        <f t="shared" si="1"/>
        <v>35</v>
      </c>
      <c r="B37" s="285">
        <v>663</v>
      </c>
      <c r="C37" s="286">
        <v>41848</v>
      </c>
      <c r="D37" s="294" t="s">
        <v>130</v>
      </c>
      <c r="E37" s="287">
        <f>ROUND(F37/K37,2)</f>
        <v>29.14</v>
      </c>
      <c r="F37" s="280">
        <v>800</v>
      </c>
      <c r="G37" s="294">
        <v>14</v>
      </c>
      <c r="H37" s="294"/>
      <c r="I37" s="285">
        <v>3944</v>
      </c>
      <c r="K37" s="283">
        <v>27.456</v>
      </c>
    </row>
    <row r="38" spans="1:11" x14ac:dyDescent="0.25">
      <c r="A38" s="285">
        <f t="shared" si="1"/>
        <v>36</v>
      </c>
      <c r="B38" s="285">
        <v>663</v>
      </c>
      <c r="C38" s="286">
        <v>41851</v>
      </c>
      <c r="D38" s="295" t="s">
        <v>134</v>
      </c>
      <c r="E38" s="289">
        <f>ROUND(F38/K38,2)</f>
        <v>-5.09</v>
      </c>
      <c r="F38" s="280">
        <f>F28+F33+F34+F35-F37</f>
        <v>-137.99999999999989</v>
      </c>
      <c r="G38" s="294">
        <v>12</v>
      </c>
      <c r="H38" s="294"/>
      <c r="I38" s="285"/>
      <c r="K38" s="283">
        <v>27.123000000000001</v>
      </c>
    </row>
    <row r="39" spans="1:11" x14ac:dyDescent="0.25">
      <c r="A39" s="285">
        <f t="shared" si="1"/>
        <v>37</v>
      </c>
      <c r="B39" s="285">
        <v>663</v>
      </c>
      <c r="C39" s="286">
        <v>41851</v>
      </c>
      <c r="D39" s="295" t="s">
        <v>139</v>
      </c>
      <c r="E39" s="289">
        <f>E41-E40</f>
        <v>-0.16999999999999998</v>
      </c>
      <c r="F39" s="280"/>
      <c r="G39" s="294"/>
      <c r="H39" s="294"/>
      <c r="I39" s="285"/>
      <c r="K39" s="283"/>
    </row>
    <row r="40" spans="1:11" x14ac:dyDescent="0.25">
      <c r="A40" s="285">
        <f t="shared" si="1"/>
        <v>38</v>
      </c>
      <c r="B40" s="285">
        <v>663</v>
      </c>
      <c r="C40" s="286">
        <v>41851</v>
      </c>
      <c r="D40" s="295" t="s">
        <v>131</v>
      </c>
      <c r="E40" s="299">
        <f>ROUND(F37/K40-E37,2)</f>
        <v>0.36</v>
      </c>
      <c r="F40" s="280"/>
      <c r="G40" s="294">
        <v>12</v>
      </c>
      <c r="H40" s="294"/>
      <c r="I40" s="285"/>
      <c r="K40" s="283">
        <v>27.123000000000001</v>
      </c>
    </row>
    <row r="41" spans="1:11" ht="15.75" thickBot="1" x14ac:dyDescent="0.3">
      <c r="A41" s="290">
        <f t="shared" si="1"/>
        <v>39</v>
      </c>
      <c r="B41" s="290">
        <v>663</v>
      </c>
      <c r="C41" s="291">
        <v>41851</v>
      </c>
      <c r="D41" s="292" t="s">
        <v>132</v>
      </c>
      <c r="E41" s="293">
        <f>ROUND((F33+F34+F35+F28)/K41-(E33+E34+E35+E28),2)</f>
        <v>0.19</v>
      </c>
      <c r="F41" s="282"/>
      <c r="G41" s="296">
        <v>12</v>
      </c>
      <c r="H41" s="290"/>
      <c r="I41" s="290"/>
      <c r="J41" s="281"/>
      <c r="K41" s="284">
        <v>27.123000000000001</v>
      </c>
    </row>
    <row r="42" spans="1:11" x14ac:dyDescent="0.25">
      <c r="A42" s="285">
        <f t="shared" si="1"/>
        <v>40</v>
      </c>
      <c r="B42" s="285">
        <v>663</v>
      </c>
      <c r="C42" s="286">
        <v>41882</v>
      </c>
      <c r="D42" s="294" t="s">
        <v>129</v>
      </c>
      <c r="E42" s="287">
        <f>ROUND(F42/K42,2)</f>
        <v>0.71</v>
      </c>
      <c r="F42" s="280">
        <v>19.059999999999999</v>
      </c>
      <c r="G42" s="294">
        <v>15</v>
      </c>
      <c r="H42" s="294"/>
      <c r="I42" s="285">
        <v>2196</v>
      </c>
      <c r="K42" s="283">
        <v>26.986999999999998</v>
      </c>
    </row>
    <row r="43" spans="1:11" x14ac:dyDescent="0.25">
      <c r="A43" s="285">
        <f t="shared" si="1"/>
        <v>41</v>
      </c>
      <c r="B43" s="285">
        <v>663</v>
      </c>
      <c r="C43" s="286">
        <v>41851</v>
      </c>
      <c r="D43" s="294" t="s">
        <v>127</v>
      </c>
      <c r="E43" s="287">
        <f>ROUND(F43/K43,2)</f>
        <v>17.7</v>
      </c>
      <c r="F43" s="280">
        <v>480.16</v>
      </c>
      <c r="G43" s="294">
        <v>12</v>
      </c>
      <c r="H43" s="294"/>
      <c r="I43" s="285">
        <f>I42</f>
        <v>2196</v>
      </c>
      <c r="K43">
        <f>K32</f>
        <v>27.123000000000001</v>
      </c>
    </row>
    <row r="44" spans="1:11" x14ac:dyDescent="0.25">
      <c r="A44" s="285">
        <f t="shared" si="1"/>
        <v>42</v>
      </c>
      <c r="B44" s="285">
        <v>663</v>
      </c>
      <c r="C44" s="286">
        <v>41871</v>
      </c>
      <c r="D44" s="294" t="s">
        <v>126</v>
      </c>
      <c r="E44" s="287">
        <f>ROUND(F44/K44,2)</f>
        <v>2.1800000000000002</v>
      </c>
      <c r="F44" s="280">
        <v>57.84</v>
      </c>
      <c r="G44" s="294">
        <v>16</v>
      </c>
      <c r="H44" s="294"/>
      <c r="I44" s="285">
        <f>I43</f>
        <v>2196</v>
      </c>
      <c r="K44">
        <v>26.567</v>
      </c>
    </row>
    <row r="45" spans="1:11" x14ac:dyDescent="0.25">
      <c r="A45" s="285">
        <f t="shared" si="1"/>
        <v>43</v>
      </c>
      <c r="B45" s="285">
        <v>663</v>
      </c>
      <c r="C45" s="286">
        <v>41871</v>
      </c>
      <c r="D45" s="294" t="s">
        <v>128</v>
      </c>
      <c r="E45" s="287">
        <f>ROUND(F45/K45,2)</f>
        <v>0.6</v>
      </c>
      <c r="F45" s="280">
        <v>16</v>
      </c>
      <c r="G45" s="294">
        <v>16</v>
      </c>
      <c r="H45" s="294"/>
      <c r="I45" s="285">
        <v>2677</v>
      </c>
      <c r="K45">
        <v>26.567</v>
      </c>
    </row>
    <row r="46" spans="1:11" x14ac:dyDescent="0.25">
      <c r="A46" s="285">
        <f t="shared" si="1"/>
        <v>44</v>
      </c>
      <c r="B46" s="285">
        <v>663</v>
      </c>
      <c r="C46" s="286">
        <v>41871</v>
      </c>
      <c r="D46" s="294" t="s">
        <v>133</v>
      </c>
      <c r="E46" s="287">
        <f>ROUND(F46/K46,2)</f>
        <v>20.85</v>
      </c>
      <c r="F46" s="280">
        <f>F43+F44+F45</f>
        <v>554</v>
      </c>
      <c r="G46" s="294">
        <v>16</v>
      </c>
      <c r="H46" s="294"/>
      <c r="I46" s="285">
        <v>2677</v>
      </c>
      <c r="K46">
        <v>26.567</v>
      </c>
    </row>
    <row r="47" spans="1:11" x14ac:dyDescent="0.25">
      <c r="A47" s="285">
        <f t="shared" si="1"/>
        <v>45</v>
      </c>
      <c r="B47" s="285">
        <v>663</v>
      </c>
      <c r="C47" s="286">
        <v>41876</v>
      </c>
      <c r="D47" s="294" t="s">
        <v>130</v>
      </c>
      <c r="E47" s="287">
        <f>ROUND(F47/K47,2)</f>
        <v>11.34</v>
      </c>
      <c r="F47" s="280">
        <v>300</v>
      </c>
      <c r="G47" s="294">
        <v>17</v>
      </c>
      <c r="H47" s="294"/>
      <c r="I47" s="285">
        <v>5364</v>
      </c>
      <c r="K47">
        <v>26.456</v>
      </c>
    </row>
    <row r="48" spans="1:11" x14ac:dyDescent="0.25">
      <c r="A48" s="285">
        <f t="shared" si="1"/>
        <v>46</v>
      </c>
      <c r="B48" s="285">
        <v>663</v>
      </c>
      <c r="C48" s="286">
        <v>41882</v>
      </c>
      <c r="D48" s="295" t="s">
        <v>134</v>
      </c>
      <c r="E48" s="289">
        <f>ROUND(F48/K48,2)</f>
        <v>4.3</v>
      </c>
      <c r="F48" s="280">
        <f>F38+F43+F44+F45-F47</f>
        <v>116.00000000000011</v>
      </c>
      <c r="G48" s="285">
        <v>15</v>
      </c>
      <c r="H48" s="294"/>
      <c r="I48" s="285"/>
      <c r="K48">
        <v>26.986999999999998</v>
      </c>
    </row>
    <row r="49" spans="1:14" x14ac:dyDescent="0.25">
      <c r="A49" s="285">
        <f t="shared" si="1"/>
        <v>47</v>
      </c>
      <c r="B49" s="285">
        <v>663</v>
      </c>
      <c r="C49" s="286">
        <v>41882</v>
      </c>
      <c r="D49" s="295" t="s">
        <v>139</v>
      </c>
      <c r="E49" s="289">
        <f>E51-E50</f>
        <v>-0.2</v>
      </c>
      <c r="F49" s="280"/>
      <c r="G49" s="285"/>
      <c r="H49" s="294"/>
      <c r="I49" s="285"/>
    </row>
    <row r="50" spans="1:14" x14ac:dyDescent="0.25">
      <c r="A50" s="285">
        <f t="shared" si="1"/>
        <v>48</v>
      </c>
      <c r="B50" s="285">
        <v>663</v>
      </c>
      <c r="C50" s="286">
        <v>41882</v>
      </c>
      <c r="D50" s="295" t="s">
        <v>131</v>
      </c>
      <c r="E50" s="289">
        <f>ROUND(E47 - F47/K50,2)</f>
        <v>0.22</v>
      </c>
      <c r="F50" s="280"/>
      <c r="G50" s="285">
        <v>15</v>
      </c>
      <c r="H50" s="294"/>
      <c r="I50" s="285"/>
      <c r="K50">
        <f>K42</f>
        <v>26.986999999999998</v>
      </c>
    </row>
    <row r="51" spans="1:14" ht="15.75" thickBot="1" x14ac:dyDescent="0.3">
      <c r="A51" s="290">
        <f t="shared" si="1"/>
        <v>49</v>
      </c>
      <c r="B51" s="290">
        <v>663</v>
      </c>
      <c r="C51" s="291">
        <v>41882</v>
      </c>
      <c r="D51" s="292" t="s">
        <v>132</v>
      </c>
      <c r="E51" s="293">
        <f>ROUND((F43+F44+F45+F38)/K51-(E43+E44+E45+E38),2)</f>
        <v>0.02</v>
      </c>
      <c r="F51" s="282"/>
      <c r="G51" s="290">
        <v>15</v>
      </c>
      <c r="H51" s="290"/>
      <c r="I51" s="290"/>
      <c r="J51" s="281"/>
      <c r="K51" s="281">
        <f>K42</f>
        <v>26.986999999999998</v>
      </c>
    </row>
    <row r="52" spans="1:14" x14ac:dyDescent="0.25">
      <c r="A52" s="285">
        <f t="shared" si="1"/>
        <v>50</v>
      </c>
      <c r="B52" s="285">
        <v>663</v>
      </c>
      <c r="C52" s="286">
        <v>41912</v>
      </c>
      <c r="D52" s="294" t="s">
        <v>129</v>
      </c>
      <c r="E52" s="287">
        <f>ROUND(F52/K52,2)</f>
        <v>0.72</v>
      </c>
      <c r="F52" s="280">
        <v>19.059999999999999</v>
      </c>
      <c r="G52" s="294">
        <v>18</v>
      </c>
      <c r="H52" s="294"/>
      <c r="I52" s="285"/>
      <c r="K52" s="283">
        <v>26.555</v>
      </c>
    </row>
    <row r="53" spans="1:14" x14ac:dyDescent="0.25">
      <c r="A53" s="285">
        <f t="shared" si="1"/>
        <v>51</v>
      </c>
      <c r="B53" s="285">
        <v>663</v>
      </c>
      <c r="C53" s="286">
        <v>41882</v>
      </c>
      <c r="D53" s="294" t="s">
        <v>127</v>
      </c>
      <c r="E53" s="287">
        <f>ROUND(F53/K53,2)</f>
        <v>17.940000000000001</v>
      </c>
      <c r="F53" s="280">
        <v>484.08</v>
      </c>
      <c r="G53" s="294">
        <v>15</v>
      </c>
      <c r="H53" s="294"/>
      <c r="I53" s="285"/>
      <c r="K53">
        <f>K51</f>
        <v>26.986999999999998</v>
      </c>
    </row>
    <row r="54" spans="1:14" x14ac:dyDescent="0.25">
      <c r="A54" s="285">
        <f t="shared" si="1"/>
        <v>52</v>
      </c>
      <c r="B54" s="285">
        <v>663</v>
      </c>
      <c r="C54" s="286">
        <v>41902</v>
      </c>
      <c r="D54" s="294" t="s">
        <v>126</v>
      </c>
      <c r="E54" s="287">
        <f>ROUND(F54/K54,2)</f>
        <v>2.0299999999999998</v>
      </c>
      <c r="F54" s="280">
        <v>53.92</v>
      </c>
      <c r="G54" s="294">
        <v>16</v>
      </c>
      <c r="H54" s="294"/>
      <c r="I54" s="285"/>
      <c r="K54">
        <v>26.542999999999999</v>
      </c>
    </row>
    <row r="55" spans="1:14" x14ac:dyDescent="0.25">
      <c r="A55" s="285">
        <f t="shared" si="1"/>
        <v>53</v>
      </c>
      <c r="B55" s="285">
        <v>663</v>
      </c>
      <c r="C55" s="286">
        <v>41902</v>
      </c>
      <c r="D55" s="294" t="s">
        <v>128</v>
      </c>
      <c r="E55" s="287">
        <f>ROUND(F55/K55,2)</f>
        <v>0.6</v>
      </c>
      <c r="F55" s="280">
        <v>16</v>
      </c>
      <c r="G55" s="294">
        <v>16</v>
      </c>
      <c r="H55" s="294"/>
      <c r="I55" s="285"/>
      <c r="K55">
        <f>K54</f>
        <v>26.542999999999999</v>
      </c>
    </row>
    <row r="56" spans="1:14" x14ac:dyDescent="0.25">
      <c r="A56" s="285">
        <f t="shared" si="1"/>
        <v>54</v>
      </c>
      <c r="B56" s="285">
        <v>663</v>
      </c>
      <c r="C56" s="286">
        <v>41902</v>
      </c>
      <c r="D56" s="294" t="s">
        <v>133</v>
      </c>
      <c r="E56" s="287">
        <f>ROUND(F56/K56,2)</f>
        <v>20.87</v>
      </c>
      <c r="F56" s="280">
        <f>F53+F54+F55</f>
        <v>554</v>
      </c>
      <c r="G56" s="294">
        <v>16</v>
      </c>
      <c r="H56" s="294"/>
      <c r="I56" s="285"/>
      <c r="K56">
        <f>K54</f>
        <v>26.542999999999999</v>
      </c>
    </row>
    <row r="57" spans="1:14" x14ac:dyDescent="0.25">
      <c r="A57" s="285">
        <f t="shared" si="1"/>
        <v>55</v>
      </c>
      <c r="B57" s="285"/>
      <c r="C57" s="286"/>
      <c r="D57" s="294" t="s">
        <v>130</v>
      </c>
      <c r="E57" s="287"/>
      <c r="F57" s="280"/>
      <c r="G57" s="294"/>
      <c r="H57" s="294"/>
      <c r="I57" s="285"/>
    </row>
    <row r="58" spans="1:14" x14ac:dyDescent="0.25">
      <c r="A58" s="285">
        <f t="shared" si="1"/>
        <v>56</v>
      </c>
      <c r="B58" s="285">
        <v>663</v>
      </c>
      <c r="C58" s="286">
        <f>C52</f>
        <v>41912</v>
      </c>
      <c r="D58" s="295" t="s">
        <v>134</v>
      </c>
      <c r="E58" s="289">
        <f>ROUND(F58/K58,2)</f>
        <v>24.83</v>
      </c>
      <c r="F58" s="280">
        <f>F48+F53+F54+F55-F57</f>
        <v>670.00000000000011</v>
      </c>
      <c r="G58" s="285">
        <v>18</v>
      </c>
      <c r="H58" s="294"/>
      <c r="I58" s="285"/>
      <c r="K58">
        <v>26.986999999999998</v>
      </c>
    </row>
    <row r="59" spans="1:14" x14ac:dyDescent="0.25">
      <c r="A59" s="285">
        <f t="shared" si="1"/>
        <v>57</v>
      </c>
      <c r="B59" s="285">
        <v>663</v>
      </c>
      <c r="C59" s="286">
        <f>C52</f>
        <v>41912</v>
      </c>
      <c r="D59" s="295" t="s">
        <v>139</v>
      </c>
      <c r="E59" s="289">
        <f>E61-E60</f>
        <v>0.36</v>
      </c>
      <c r="F59" s="280"/>
      <c r="G59" s="285"/>
      <c r="H59" s="294"/>
      <c r="I59" s="285"/>
    </row>
    <row r="60" spans="1:14" x14ac:dyDescent="0.25">
      <c r="A60" s="285">
        <f t="shared" si="1"/>
        <v>58</v>
      </c>
      <c r="B60" s="285"/>
      <c r="C60" s="286"/>
      <c r="D60" s="295" t="s">
        <v>131</v>
      </c>
      <c r="E60" s="289"/>
      <c r="F60" s="280"/>
      <c r="G60" s="285"/>
      <c r="H60" s="294"/>
      <c r="I60" s="285"/>
    </row>
    <row r="61" spans="1:14" ht="15.75" thickBot="1" x14ac:dyDescent="0.3">
      <c r="A61" s="290">
        <f t="shared" si="1"/>
        <v>59</v>
      </c>
      <c r="B61" s="290">
        <v>663</v>
      </c>
      <c r="C61" s="291">
        <f>C52</f>
        <v>41912</v>
      </c>
      <c r="D61" s="292" t="s">
        <v>132</v>
      </c>
      <c r="E61" s="293">
        <f>ROUND((F53+F54+F55+F48)/K61-(E53+E54+E55+E48),2)</f>
        <v>0.36</v>
      </c>
      <c r="F61" s="282"/>
      <c r="G61" s="290">
        <v>18</v>
      </c>
      <c r="H61" s="290"/>
      <c r="I61" s="290"/>
      <c r="J61" s="281"/>
      <c r="K61" s="281">
        <f>K52</f>
        <v>26.555</v>
      </c>
    </row>
    <row r="62" spans="1:14" x14ac:dyDescent="0.25">
      <c r="E62" s="280"/>
    </row>
    <row r="63" spans="1:14" x14ac:dyDescent="0.25">
      <c r="E63" s="280"/>
    </row>
    <row r="64" spans="1:14" x14ac:dyDescent="0.25">
      <c r="E64" s="280"/>
      <c r="L64" s="302" t="s">
        <v>139</v>
      </c>
      <c r="M64" s="302" t="s">
        <v>140</v>
      </c>
      <c r="N64" s="302"/>
    </row>
    <row r="65" spans="5:14" x14ac:dyDescent="0.25">
      <c r="E65" s="280"/>
      <c r="L65" s="302" t="s">
        <v>131</v>
      </c>
      <c r="M65" s="302" t="s">
        <v>81</v>
      </c>
      <c r="N65" s="302"/>
    </row>
    <row r="66" spans="5:14" x14ac:dyDescent="0.25">
      <c r="E66" s="280"/>
      <c r="L66" s="302" t="s">
        <v>132</v>
      </c>
      <c r="M66" s="302" t="s">
        <v>138</v>
      </c>
      <c r="N66" s="302"/>
    </row>
    <row r="67" spans="5:14" x14ac:dyDescent="0.25">
      <c r="E67" s="280"/>
    </row>
    <row r="68" spans="5:14" x14ac:dyDescent="0.25">
      <c r="E68" s="280"/>
    </row>
    <row r="69" spans="5:14" x14ac:dyDescent="0.25">
      <c r="E69" s="280"/>
    </row>
    <row r="70" spans="5:14" x14ac:dyDescent="0.25">
      <c r="E70" s="280"/>
    </row>
    <row r="71" spans="5:14" x14ac:dyDescent="0.25">
      <c r="E71" s="280"/>
    </row>
    <row r="72" spans="5:14" x14ac:dyDescent="0.25">
      <c r="E72" s="280"/>
    </row>
    <row r="73" spans="5:14" x14ac:dyDescent="0.25">
      <c r="E73" s="280"/>
    </row>
    <row r="74" spans="5:14" x14ac:dyDescent="0.25">
      <c r="E74" s="280"/>
    </row>
    <row r="75" spans="5:14" x14ac:dyDescent="0.25">
      <c r="E75" s="280"/>
    </row>
    <row r="76" spans="5:14" x14ac:dyDescent="0.25">
      <c r="E76" s="280"/>
    </row>
    <row r="77" spans="5:14" x14ac:dyDescent="0.25">
      <c r="E77" s="280"/>
    </row>
    <row r="78" spans="5:14" x14ac:dyDescent="0.25">
      <c r="E78" s="280"/>
    </row>
    <row r="79" spans="5:14" x14ac:dyDescent="0.25">
      <c r="E79" s="280"/>
    </row>
    <row r="80" spans="5:14" x14ac:dyDescent="0.25">
      <c r="E80" s="280"/>
    </row>
    <row r="81" spans="5:5" x14ac:dyDescent="0.25">
      <c r="E81" s="280"/>
    </row>
    <row r="82" spans="5:5" x14ac:dyDescent="0.25">
      <c r="E82" s="280"/>
    </row>
    <row r="83" spans="5:5" x14ac:dyDescent="0.25">
      <c r="E83" s="280"/>
    </row>
    <row r="84" spans="5:5" x14ac:dyDescent="0.25">
      <c r="E84" s="280"/>
    </row>
    <row r="85" spans="5:5" x14ac:dyDescent="0.25">
      <c r="E85" s="280"/>
    </row>
    <row r="86" spans="5:5" x14ac:dyDescent="0.25">
      <c r="E86" s="280"/>
    </row>
    <row r="87" spans="5:5" x14ac:dyDescent="0.25">
      <c r="E87" s="280"/>
    </row>
    <row r="88" spans="5:5" x14ac:dyDescent="0.25">
      <c r="E88" s="280"/>
    </row>
    <row r="89" spans="5:5" x14ac:dyDescent="0.25">
      <c r="E89" s="280"/>
    </row>
    <row r="90" spans="5:5" x14ac:dyDescent="0.25">
      <c r="E90" s="280"/>
    </row>
    <row r="91" spans="5:5" x14ac:dyDescent="0.25">
      <c r="E91" s="280"/>
    </row>
    <row r="92" spans="5:5" x14ac:dyDescent="0.25">
      <c r="E92" s="280"/>
    </row>
    <row r="93" spans="5:5" x14ac:dyDescent="0.25">
      <c r="E93" s="280"/>
    </row>
    <row r="94" spans="5:5" x14ac:dyDescent="0.25">
      <c r="E94" s="280"/>
    </row>
    <row r="95" spans="5:5" x14ac:dyDescent="0.25">
      <c r="E95" s="280"/>
    </row>
    <row r="96" spans="5:5" x14ac:dyDescent="0.25">
      <c r="E96" s="280"/>
    </row>
    <row r="97" spans="5:5" x14ac:dyDescent="0.25">
      <c r="E97" s="280"/>
    </row>
    <row r="98" spans="5:5" x14ac:dyDescent="0.25">
      <c r="E98" s="280"/>
    </row>
    <row r="99" spans="5:5" x14ac:dyDescent="0.25">
      <c r="E99" s="280"/>
    </row>
    <row r="100" spans="5:5" x14ac:dyDescent="0.25">
      <c r="E100" s="280"/>
    </row>
    <row r="101" spans="5:5" x14ac:dyDescent="0.25">
      <c r="E101" s="280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Predpisy_splatka</vt:lpstr>
      <vt:lpstr>rozpis_uhrad_new_jul</vt:lpstr>
      <vt:lpstr>ev.c.10000167</vt:lpstr>
      <vt:lpstr>úhrady</vt:lpstr>
      <vt:lpstr>splatka4</vt:lpstr>
      <vt:lpstr>splatka5</vt:lpstr>
      <vt:lpstr>splatka6</vt:lpstr>
      <vt:lpstr>splatka7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Chábová Lenka</dc:creator>
  <cp:lastModifiedBy>Sedlák Ferdinand</cp:lastModifiedBy>
  <cp:lastPrinted>2014-08-18T11:06:15Z</cp:lastPrinted>
  <dcterms:created xsi:type="dcterms:W3CDTF">2014-08-14T13:01:42Z</dcterms:created>
  <dcterms:modified xsi:type="dcterms:W3CDTF">2014-12-11T07:33:59Z</dcterms:modified>
</cp:coreProperties>
</file>